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rchdioceseofseattle.sharepoint.com/sites/PFS/Shared Documents/General/Parish Financial Services Shared/Sarah/Budgeting/"/>
    </mc:Choice>
  </mc:AlternateContent>
  <xr:revisionPtr revIDLastSave="3264" documentId="8_{51E2397E-29AB-4DF9-BD9A-A2E55DB403F2}" xr6:coauthVersionLast="47" xr6:coauthVersionMax="47" xr10:uidLastSave="{868002FC-1642-486F-B86F-873C9B7A34BB}"/>
  <bookViews>
    <workbookView xWindow="57480" yWindow="-120" windowWidth="29040" windowHeight="15720" tabRatio="750" xr2:uid="{00000000-000D-0000-FFFF-FFFF00000000}"/>
  </bookViews>
  <sheets>
    <sheet name="budget projections" sheetId="1" r:id="rId1"/>
    <sheet name="month lookup" sheetId="14" state="hidden" r:id="rId2"/>
    <sheet name="rev-collection" sheetId="7" r:id="rId3"/>
    <sheet name="rev-other" sheetId="10" r:id="rId4"/>
    <sheet name="Exp-payroll" sheetId="4" r:id="rId5"/>
    <sheet name="Exp-Program" sheetId="5" r:id="rId6"/>
    <sheet name="Exp-Other" sheetId="6" r:id="rId7"/>
    <sheet name="fundraising rev &amp; exp" sheetId="8" r:id="rId8"/>
    <sheet name="lease rev &amp; exp" sheetId="13" r:id="rId9"/>
    <sheet name="assessments" sheetId="11" r:id="rId10"/>
  </sheets>
  <definedNames>
    <definedName name="Months_elapsed">'budget projections'!$H$4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E44" i="5" s="1"/>
  <c r="M6" i="7"/>
  <c r="N6" i="7"/>
  <c r="L6" i="7"/>
  <c r="I6" i="7"/>
  <c r="D6" i="4"/>
  <c r="F6" i="4" s="1"/>
  <c r="D7" i="4"/>
  <c r="G7" i="4" s="1"/>
  <c r="D8" i="4"/>
  <c r="G8" i="4" s="1"/>
  <c r="D9" i="4"/>
  <c r="D10" i="4"/>
  <c r="F10" i="4" s="1"/>
  <c r="D5" i="4"/>
  <c r="G5" i="4"/>
  <c r="N13" i="4"/>
  <c r="N12" i="4"/>
  <c r="G9" i="4"/>
  <c r="F9" i="4"/>
  <c r="F5" i="4"/>
  <c r="G3" i="4"/>
  <c r="F3" i="4"/>
  <c r="F7" i="11"/>
  <c r="G7" i="11"/>
  <c r="H7" i="11"/>
  <c r="G6" i="11"/>
  <c r="H6" i="11"/>
  <c r="F6" i="11"/>
  <c r="H37" i="11"/>
  <c r="H22" i="11" s="1"/>
  <c r="G37" i="11"/>
  <c r="G22" i="11" s="1"/>
  <c r="J11" i="4"/>
  <c r="E14" i="4"/>
  <c r="E21" i="8"/>
  <c r="E11" i="8"/>
  <c r="I11" i="8" s="1"/>
  <c r="D12" i="8"/>
  <c r="G16" i="11"/>
  <c r="I14" i="10"/>
  <c r="J14" i="10"/>
  <c r="H14" i="10"/>
  <c r="C14" i="13"/>
  <c r="B14" i="13"/>
  <c r="I8" i="13"/>
  <c r="J8" i="13"/>
  <c r="H8" i="13"/>
  <c r="C8" i="13"/>
  <c r="B8" i="13"/>
  <c r="B16" i="13" s="1"/>
  <c r="E12" i="13" l="1"/>
  <c r="E9" i="6"/>
  <c r="E13" i="13"/>
  <c r="E12" i="6"/>
  <c r="I5" i="7"/>
  <c r="E13" i="6"/>
  <c r="E14" i="6"/>
  <c r="E20" i="6"/>
  <c r="E9" i="10"/>
  <c r="E10" i="10"/>
  <c r="E26" i="6"/>
  <c r="E30" i="6"/>
  <c r="E6" i="13"/>
  <c r="E18" i="6"/>
  <c r="E19" i="6"/>
  <c r="E5" i="10"/>
  <c r="E21" i="6"/>
  <c r="E22" i="6"/>
  <c r="E18" i="10"/>
  <c r="E28" i="6"/>
  <c r="E20" i="10"/>
  <c r="E15" i="10"/>
  <c r="E7" i="13"/>
  <c r="E42" i="5"/>
  <c r="F8" i="4"/>
  <c r="F7" i="4"/>
  <c r="G10" i="4"/>
  <c r="G6" i="4"/>
  <c r="C16" i="13"/>
  <c r="H11" i="8"/>
  <c r="G11" i="8"/>
  <c r="G21" i="8" s="1"/>
  <c r="H16" i="11"/>
  <c r="F21" i="8"/>
  <c r="I21" i="8" s="1"/>
  <c r="D14" i="13"/>
  <c r="D8" i="13"/>
  <c r="D16" i="13" s="1"/>
  <c r="E8" i="13" l="1"/>
  <c r="E14" i="13"/>
  <c r="F13" i="13"/>
  <c r="J13" i="13" s="1"/>
  <c r="H21" i="8"/>
  <c r="F12" i="13"/>
  <c r="E16" i="13" l="1"/>
  <c r="H13" i="13"/>
  <c r="I13" i="13"/>
  <c r="J12" i="13"/>
  <c r="J14" i="13" s="1"/>
  <c r="H12" i="13"/>
  <c r="I12" i="13"/>
  <c r="H14" i="13" l="1"/>
  <c r="H16" i="13" s="1"/>
  <c r="I14" i="13"/>
  <c r="H34" i="6" s="1"/>
  <c r="I34" i="6"/>
  <c r="J16" i="13"/>
  <c r="H23" i="11"/>
  <c r="G23" i="11"/>
  <c r="F8" i="11"/>
  <c r="H30" i="1" s="1"/>
  <c r="G34" i="6" l="1"/>
  <c r="I16" i="13"/>
  <c r="G25" i="11"/>
  <c r="H25" i="11"/>
  <c r="J6" i="7"/>
  <c r="E5" i="7"/>
  <c r="C5" i="7"/>
  <c r="I7" i="7"/>
  <c r="H5" i="7"/>
  <c r="G5" i="7" l="1"/>
  <c r="I13" i="1"/>
  <c r="J13" i="1"/>
  <c r="I14" i="1"/>
  <c r="J14" i="1"/>
  <c r="H14" i="1"/>
  <c r="H13" i="1"/>
  <c r="D20" i="10"/>
  <c r="F20" i="10"/>
  <c r="D18" i="10"/>
  <c r="F18" i="10" s="1"/>
  <c r="F5" i="10"/>
  <c r="I5" i="10" l="1"/>
  <c r="I9" i="1" s="1"/>
  <c r="J5" i="10"/>
  <c r="J9" i="1" s="1"/>
  <c r="H5" i="10"/>
  <c r="H9" i="1" s="1"/>
  <c r="C16" i="10"/>
  <c r="D16" i="10"/>
  <c r="B16" i="10"/>
  <c r="F15" i="10"/>
  <c r="E11" i="10"/>
  <c r="C11" i="10"/>
  <c r="B11" i="10"/>
  <c r="F10" i="10"/>
  <c r="D10" i="10"/>
  <c r="F9" i="10"/>
  <c r="J9" i="10" s="1"/>
  <c r="D9" i="10"/>
  <c r="E35" i="6"/>
  <c r="F35" i="6" s="1"/>
  <c r="G35" i="6" s="1"/>
  <c r="H35" i="6" s="1"/>
  <c r="I35" i="6" s="1"/>
  <c r="J15" i="10" l="1"/>
  <c r="J16" i="10" s="1"/>
  <c r="J12" i="1" s="1"/>
  <c r="I15" i="10"/>
  <c r="I16" i="10" s="1"/>
  <c r="I12" i="1" s="1"/>
  <c r="H15" i="10"/>
  <c r="H16" i="10" s="1"/>
  <c r="H12" i="1" s="1"/>
  <c r="J10" i="10"/>
  <c r="J11" i="10" s="1"/>
  <c r="J11" i="1" s="1"/>
  <c r="I10" i="10"/>
  <c r="H10" i="10"/>
  <c r="D11" i="10"/>
  <c r="G36" i="6"/>
  <c r="H26" i="1" s="1"/>
  <c r="E16" i="10"/>
  <c r="I9" i="10"/>
  <c r="H9" i="10"/>
  <c r="H7" i="7"/>
  <c r="F7" i="7"/>
  <c r="D7" i="7"/>
  <c r="B7" i="7"/>
  <c r="H11" i="10" l="1"/>
  <c r="H11" i="1" s="1"/>
  <c r="I11" i="10"/>
  <c r="I11" i="1" s="1"/>
  <c r="H17" i="11"/>
  <c r="H18" i="11" s="1"/>
  <c r="H19" i="11" s="1"/>
  <c r="G17" i="11"/>
  <c r="C16" i="8"/>
  <c r="D16" i="8"/>
  <c r="C17" i="8"/>
  <c r="C18" i="8"/>
  <c r="D18" i="8"/>
  <c r="C19" i="8"/>
  <c r="D19" i="8"/>
  <c r="B19" i="8"/>
  <c r="E19" i="8" s="1"/>
  <c r="B18" i="8"/>
  <c r="E18" i="8" s="1"/>
  <c r="B17" i="8"/>
  <c r="E17" i="8" s="1"/>
  <c r="B16" i="8"/>
  <c r="E16" i="8" s="1"/>
  <c r="C12" i="8"/>
  <c r="B12" i="8"/>
  <c r="E7" i="8"/>
  <c r="E8" i="8"/>
  <c r="E9" i="8"/>
  <c r="E6" i="8"/>
  <c r="F44" i="5"/>
  <c r="G44" i="5" s="1"/>
  <c r="H44" i="5" s="1"/>
  <c r="I44" i="5" s="1"/>
  <c r="K30" i="1"/>
  <c r="F30" i="6"/>
  <c r="F28" i="6"/>
  <c r="G26" i="6"/>
  <c r="H26" i="6" s="1"/>
  <c r="I26" i="6" s="1"/>
  <c r="C23" i="6"/>
  <c r="B23" i="6"/>
  <c r="F22" i="6"/>
  <c r="G22" i="6" s="1"/>
  <c r="H22" i="6" s="1"/>
  <c r="I22" i="6" s="1"/>
  <c r="C15" i="6"/>
  <c r="B15" i="6"/>
  <c r="G21" i="6"/>
  <c r="H21" i="6" s="1"/>
  <c r="I21" i="6" s="1"/>
  <c r="G19" i="6"/>
  <c r="F13" i="6"/>
  <c r="G13" i="6" s="1"/>
  <c r="H13" i="6" s="1"/>
  <c r="I13" i="6" s="1"/>
  <c r="F9" i="6"/>
  <c r="G9" i="6" s="1"/>
  <c r="H6" i="8" l="1"/>
  <c r="I6" i="8"/>
  <c r="G6" i="8"/>
  <c r="D22" i="8"/>
  <c r="F17" i="8"/>
  <c r="G17" i="8" s="1"/>
  <c r="G7" i="8"/>
  <c r="H7" i="8"/>
  <c r="I7" i="8"/>
  <c r="F19" i="8"/>
  <c r="G9" i="8"/>
  <c r="G19" i="8" s="1"/>
  <c r="H9" i="8"/>
  <c r="H19" i="8" s="1"/>
  <c r="I9" i="8"/>
  <c r="I19" i="8" s="1"/>
  <c r="F18" i="8"/>
  <c r="I18" i="8" s="1"/>
  <c r="G8" i="8"/>
  <c r="G12" i="8" s="1"/>
  <c r="H10" i="1" s="1"/>
  <c r="H8" i="8"/>
  <c r="I8" i="8"/>
  <c r="D15" i="6"/>
  <c r="E12" i="8"/>
  <c r="B22" i="8"/>
  <c r="B24" i="8" s="1"/>
  <c r="D24" i="8"/>
  <c r="H17" i="8"/>
  <c r="I17" i="8"/>
  <c r="C22" i="8"/>
  <c r="C24" i="8" s="1"/>
  <c r="G18" i="11"/>
  <c r="G19" i="11" s="1"/>
  <c r="H36" i="6"/>
  <c r="I26" i="1" s="1"/>
  <c r="G28" i="6"/>
  <c r="H28" i="6" s="1"/>
  <c r="I28" i="6" s="1"/>
  <c r="J28" i="1" s="1"/>
  <c r="J27" i="1"/>
  <c r="G30" i="6"/>
  <c r="H30" i="6" s="1"/>
  <c r="I30" i="6" s="1"/>
  <c r="J29" i="1" s="1"/>
  <c r="I36" i="6"/>
  <c r="J26" i="1" s="1"/>
  <c r="D23" i="6"/>
  <c r="H19" i="6"/>
  <c r="G20" i="6"/>
  <c r="H20" i="6" s="1"/>
  <c r="I20" i="6" s="1"/>
  <c r="H21" i="1"/>
  <c r="H9" i="6"/>
  <c r="H28" i="1" l="1"/>
  <c r="H18" i="8"/>
  <c r="G18" i="8"/>
  <c r="I12" i="8"/>
  <c r="H12" i="8"/>
  <c r="F16" i="8"/>
  <c r="E22" i="8"/>
  <c r="E24" i="8" s="1"/>
  <c r="I29" i="1"/>
  <c r="H29" i="1"/>
  <c r="I28" i="1"/>
  <c r="I27" i="1"/>
  <c r="H27" i="1"/>
  <c r="F12" i="6"/>
  <c r="G12" i="6" s="1"/>
  <c r="H12" i="6" s="1"/>
  <c r="I12" i="6" s="1"/>
  <c r="E15" i="6"/>
  <c r="G23" i="6"/>
  <c r="H24" i="1" s="1"/>
  <c r="E23" i="6"/>
  <c r="H23" i="6"/>
  <c r="I24" i="1" s="1"/>
  <c r="I19" i="6"/>
  <c r="I23" i="6" s="1"/>
  <c r="J24" i="1" s="1"/>
  <c r="I9" i="6"/>
  <c r="J21" i="1" s="1"/>
  <c r="I21" i="1"/>
  <c r="G12" i="11" l="1"/>
  <c r="I10" i="1"/>
  <c r="H12" i="11"/>
  <c r="J10" i="1"/>
  <c r="G16" i="8"/>
  <c r="H16" i="8"/>
  <c r="I16" i="8"/>
  <c r="I22" i="8" s="1"/>
  <c r="H13" i="11" s="1"/>
  <c r="H14" i="11" s="1"/>
  <c r="H15" i="11" s="1"/>
  <c r="G15" i="6"/>
  <c r="H23" i="1" s="1"/>
  <c r="C46" i="5"/>
  <c r="B46" i="5"/>
  <c r="D46" i="5"/>
  <c r="E34" i="5"/>
  <c r="D34" i="5"/>
  <c r="C34" i="5"/>
  <c r="B34" i="5"/>
  <c r="E23" i="5"/>
  <c r="D23" i="5"/>
  <c r="C23" i="5"/>
  <c r="B23" i="5"/>
  <c r="C12" i="5"/>
  <c r="D12" i="5"/>
  <c r="E12" i="5"/>
  <c r="D12" i="4"/>
  <c r="K5" i="4"/>
  <c r="J13" i="4"/>
  <c r="O12" i="4" l="1"/>
  <c r="V12" i="4"/>
  <c r="H22" i="8"/>
  <c r="G13" i="11" s="1"/>
  <c r="G14" i="11" s="1"/>
  <c r="G15" i="11" s="1"/>
  <c r="G22" i="8"/>
  <c r="G24" i="8" s="1"/>
  <c r="I25" i="1"/>
  <c r="J25" i="1"/>
  <c r="H24" i="8"/>
  <c r="I24" i="8"/>
  <c r="I15" i="6"/>
  <c r="J23" i="1" s="1"/>
  <c r="H15" i="6"/>
  <c r="I23" i="1" s="1"/>
  <c r="I45" i="5"/>
  <c r="I46" i="5" s="1"/>
  <c r="J22" i="1" s="1"/>
  <c r="G45" i="5"/>
  <c r="G46" i="5" s="1"/>
  <c r="H22" i="1" s="1"/>
  <c r="H45" i="5"/>
  <c r="H46" i="5" s="1"/>
  <c r="I22" i="1" s="1"/>
  <c r="G12" i="4"/>
  <c r="F12" i="4"/>
  <c r="P12" i="4" l="1"/>
  <c r="W12" i="4"/>
  <c r="H25" i="1"/>
  <c r="J5" i="7"/>
  <c r="L5" i="7" s="1"/>
  <c r="X12" i="4" l="1"/>
  <c r="M5" i="7"/>
  <c r="L7" i="7"/>
  <c r="H8" i="1" s="1"/>
  <c r="H15" i="1" s="1"/>
  <c r="B10" i="4"/>
  <c r="K10" i="4" s="1"/>
  <c r="B9" i="4"/>
  <c r="K9" i="4" s="1"/>
  <c r="B8" i="4"/>
  <c r="K8" i="4" s="1"/>
  <c r="B7" i="4"/>
  <c r="K7" i="4" s="1"/>
  <c r="B6" i="4"/>
  <c r="B11" i="4" s="1"/>
  <c r="B12" i="5"/>
  <c r="E45" i="5" s="1"/>
  <c r="E46" i="5" s="1"/>
  <c r="N5" i="7" l="1"/>
  <c r="H11" i="11" s="1"/>
  <c r="H20" i="11" s="1"/>
  <c r="H26" i="11" s="1"/>
  <c r="H28" i="11" s="1"/>
  <c r="H5" i="11" s="1"/>
  <c r="H8" i="11" s="1"/>
  <c r="G11" i="11"/>
  <c r="G20" i="11" s="1"/>
  <c r="G26" i="11" s="1"/>
  <c r="G28" i="11" s="1"/>
  <c r="G5" i="11" s="1"/>
  <c r="G8" i="11" s="1"/>
  <c r="K6" i="4"/>
  <c r="M7" i="7"/>
  <c r="I8" i="1" s="1"/>
  <c r="I15" i="1" s="1"/>
  <c r="D13" i="4"/>
  <c r="N5" i="4"/>
  <c r="N8" i="4"/>
  <c r="N10" i="4"/>
  <c r="N9" i="4"/>
  <c r="N7" i="4"/>
  <c r="V5" i="4" l="1"/>
  <c r="O5" i="4"/>
  <c r="O7" i="4"/>
  <c r="V7" i="4"/>
  <c r="O9" i="4"/>
  <c r="V9" i="4"/>
  <c r="V10" i="4"/>
  <c r="O10" i="4"/>
  <c r="N6" i="4"/>
  <c r="O8" i="4"/>
  <c r="V8" i="4"/>
  <c r="V13" i="4"/>
  <c r="O13" i="4"/>
  <c r="D11" i="4"/>
  <c r="L5" i="4"/>
  <c r="J30" i="1"/>
  <c r="I30" i="1"/>
  <c r="N7" i="7"/>
  <c r="J8" i="1" s="1"/>
  <c r="L7" i="4"/>
  <c r="F13" i="4"/>
  <c r="G13" i="4"/>
  <c r="H12" i="4"/>
  <c r="I12" i="4" s="1"/>
  <c r="L12" i="4"/>
  <c r="S12" i="4" l="1"/>
  <c r="T12" i="4"/>
  <c r="P9" i="4"/>
  <c r="W9" i="4"/>
  <c r="W5" i="4"/>
  <c r="P5" i="4"/>
  <c r="X5" i="4" s="1"/>
  <c r="P13" i="4"/>
  <c r="W13" i="4"/>
  <c r="P8" i="4"/>
  <c r="W8" i="4"/>
  <c r="O6" i="4"/>
  <c r="V6" i="4"/>
  <c r="W10" i="4"/>
  <c r="P10" i="4"/>
  <c r="P7" i="4"/>
  <c r="W7" i="4"/>
  <c r="L11" i="4"/>
  <c r="H5" i="4"/>
  <c r="I5" i="4" s="1"/>
  <c r="R5" i="4" s="1"/>
  <c r="R12" i="4"/>
  <c r="G11" i="4"/>
  <c r="F11" i="4"/>
  <c r="N14" i="4"/>
  <c r="L6" i="4"/>
  <c r="H9" i="4"/>
  <c r="I9" i="4" s="1"/>
  <c r="R9" i="4" s="1"/>
  <c r="L8" i="4"/>
  <c r="L9" i="4"/>
  <c r="H10" i="4"/>
  <c r="I10" i="4" s="1"/>
  <c r="R10" i="4" s="1"/>
  <c r="L10" i="4"/>
  <c r="J15" i="1"/>
  <c r="H8" i="4"/>
  <c r="I8" i="4" s="1"/>
  <c r="R8" i="4" s="1"/>
  <c r="L13" i="4"/>
  <c r="H7" i="4"/>
  <c r="I7" i="4" s="1"/>
  <c r="R7" i="4" s="1"/>
  <c r="H6" i="4"/>
  <c r="I6" i="4" s="1"/>
  <c r="R6" i="4" s="1"/>
  <c r="S8" i="4" l="1"/>
  <c r="S9" i="4"/>
  <c r="T8" i="4"/>
  <c r="X8" i="4"/>
  <c r="S7" i="4"/>
  <c r="X7" i="4"/>
  <c r="T7" i="4"/>
  <c r="X10" i="4"/>
  <c r="T10" i="4"/>
  <c r="S10" i="4"/>
  <c r="T9" i="4"/>
  <c r="X9" i="4"/>
  <c r="P6" i="4"/>
  <c r="S6" i="4"/>
  <c r="W6" i="4"/>
  <c r="X13" i="4"/>
  <c r="S5" i="4"/>
  <c r="H11" i="4"/>
  <c r="O14" i="4"/>
  <c r="R14" i="4"/>
  <c r="T5" i="4"/>
  <c r="H13" i="4"/>
  <c r="I13" i="4" s="1"/>
  <c r="S13" i="4" s="1"/>
  <c r="T6" i="4" l="1"/>
  <c r="X6" i="4"/>
  <c r="T13" i="4"/>
  <c r="R13" i="4"/>
  <c r="P14" i="4"/>
  <c r="J18" i="1" s="1"/>
  <c r="J12" i="4"/>
  <c r="H18" i="1"/>
  <c r="I18" i="1"/>
  <c r="H19" i="1"/>
  <c r="S14" i="4"/>
  <c r="I19" i="1" s="1"/>
  <c r="V14" i="4"/>
  <c r="H20" i="1" s="1"/>
  <c r="W14" i="4"/>
  <c r="I20" i="1" s="1"/>
  <c r="X14" i="4" l="1"/>
  <c r="J20" i="1" s="1"/>
  <c r="T14" i="4"/>
  <c r="J19" i="1" s="1"/>
  <c r="J31" i="1" s="1"/>
  <c r="J32" i="1" s="1"/>
  <c r="J35" i="1" s="1"/>
  <c r="H31" i="1"/>
  <c r="H32" i="1" s="1"/>
  <c r="H35" i="1" s="1"/>
  <c r="I31" i="1"/>
  <c r="I32" i="1" s="1"/>
  <c r="I35" i="1" s="1"/>
</calcChain>
</file>

<file path=xl/sharedStrings.xml><?xml version="1.0" encoding="utf-8"?>
<sst xmlns="http://schemas.openxmlformats.org/spreadsheetml/2006/main" count="400" uniqueCount="261">
  <si>
    <t>REVENUES</t>
  </si>
  <si>
    <t>TOTAL REVENUE</t>
  </si>
  <si>
    <t>EXPENSES</t>
  </si>
  <si>
    <t>Salaries (5100)</t>
  </si>
  <si>
    <t>Supplies (5500)</t>
  </si>
  <si>
    <t>this year actual</t>
  </si>
  <si>
    <t>NET CASH FLOW</t>
  </si>
  <si>
    <t>TOTAL EXPENSE</t>
  </si>
  <si>
    <t>(Less) Principal Payments on Debt</t>
  </si>
  <si>
    <t>NET INCOME</t>
  </si>
  <si>
    <t>Assessments &amp; Contributions (6600)</t>
  </si>
  <si>
    <t xml:space="preserve">Employee </t>
  </si>
  <si>
    <t>Employee 1</t>
  </si>
  <si>
    <t>Employee 2</t>
  </si>
  <si>
    <t>Employee 3</t>
  </si>
  <si>
    <t>Employee 4</t>
  </si>
  <si>
    <t>Employee 5</t>
  </si>
  <si>
    <t>Pastor</t>
  </si>
  <si>
    <t>Soc Sec 6.2%
Medicare 1.45%)</t>
  </si>
  <si>
    <t>Total Taxes</t>
  </si>
  <si>
    <t>Supplies</t>
  </si>
  <si>
    <t>Travel Expenses</t>
  </si>
  <si>
    <t>Total for Program</t>
  </si>
  <si>
    <t>Consolidated Program Budget:</t>
  </si>
  <si>
    <t>Total program expenses</t>
  </si>
  <si>
    <t>Operations &amp; Maintenance</t>
  </si>
  <si>
    <t>Other Expenses (may itemize)</t>
  </si>
  <si>
    <t>Note: Consider the following options in estimating collection revenue:</t>
  </si>
  <si>
    <t>2. Use last FY's actual as basis for budget projection</t>
  </si>
  <si>
    <t>3. If collection revenue is decreasing, use the largest percentage decrease in the last three fiscal years</t>
  </si>
  <si>
    <t>5. If there is a  pastor change, budget for a 1% decrease</t>
  </si>
  <si>
    <t>1. Budget increase should not  exceed average of last three years</t>
  </si>
  <si>
    <t>4. If in a recession or anticipating a recession, budget for at least a 1% decrease</t>
  </si>
  <si>
    <t>FY 23/24</t>
  </si>
  <si>
    <t>Actual FY 21/22</t>
  </si>
  <si>
    <t>Actual FY 22/23</t>
  </si>
  <si>
    <t>Actual FY 23/24</t>
  </si>
  <si>
    <t>Change</t>
  </si>
  <si>
    <t>Actual FY 20/21</t>
  </si>
  <si>
    <t>Actual Current Employer Paid Benefits</t>
  </si>
  <si>
    <t>FY 24/25 Budget</t>
  </si>
  <si>
    <t>FY 23/24 Actual Current FY Gross Wages</t>
  </si>
  <si>
    <t>Taxes</t>
  </si>
  <si>
    <t>Benefits</t>
  </si>
  <si>
    <t>Projected FY 23/24 Gross Wages</t>
  </si>
  <si>
    <t>Time elapsed (pay periods)*</t>
  </si>
  <si>
    <t>New Emp 1 to hire in FY 24/25(full time $25/hr)</t>
  </si>
  <si>
    <t>New Emp 2 to hire in FY 24/25 (part time;  20 hrs/week; $18/hr</t>
  </si>
  <si>
    <t>FMLA**</t>
  </si>
  <si>
    <t>** Employer portion is .74% of 28.57% of gross wages (check updated regulations for percentages)</t>
  </si>
  <si>
    <t>FY 25/26 Budget</t>
  </si>
  <si>
    <t>FY 26/27 Budget</t>
  </si>
  <si>
    <t>Gross Wages Budget 
at 2% increase / year</t>
  </si>
  <si>
    <t>Taxes as a % of Gross Wages</t>
  </si>
  <si>
    <t>Employer Taxes Budget</t>
  </si>
  <si>
    <t>Employer Paid Benefits Budget</t>
  </si>
  <si>
    <t>ER Benefits Exp.as a % of Gross Wages</t>
  </si>
  <si>
    <t>Personnel Costs (e.g., stipend, not salaries)</t>
  </si>
  <si>
    <t>Department/Ministry: ___________</t>
  </si>
  <si>
    <t>Actual</t>
  </si>
  <si>
    <t>FY 24/25</t>
  </si>
  <si>
    <t>FY 25/26</t>
  </si>
  <si>
    <t>FY 26/27</t>
  </si>
  <si>
    <t>Program1: _____________</t>
  </si>
  <si>
    <t>Budget (Note 1)</t>
  </si>
  <si>
    <t>Budget (Note 2)</t>
  </si>
  <si>
    <t>Program2: _____________</t>
  </si>
  <si>
    <t>Program3: _____________</t>
  </si>
  <si>
    <t>Budget (Note 3)</t>
  </si>
  <si>
    <t>from Tab: program exp"</t>
  </si>
  <si>
    <t>From departments/</t>
  </si>
  <si>
    <t>ministries</t>
  </si>
  <si>
    <t>Note: Send Department/Ministrry worksheet to the various ministries/departments for specific programs</t>
  </si>
  <si>
    <t xml:space="preserve">Budget </t>
  </si>
  <si>
    <t>FY 22/23</t>
  </si>
  <si>
    <t>FY 21/22</t>
  </si>
  <si>
    <t>Average</t>
  </si>
  <si>
    <r>
      <rPr>
        <u/>
        <sz val="11"/>
        <color theme="1"/>
        <rFont val="Calibri"/>
        <family val="2"/>
        <scheme val="minor"/>
      </rPr>
      <t>Note 2</t>
    </r>
    <r>
      <rPr>
        <sz val="11"/>
        <color theme="1"/>
        <rFont val="Calibri"/>
        <family val="2"/>
        <scheme val="minor"/>
      </rPr>
      <t>:  Assumption: Program ends in FY 25/26</t>
    </r>
  </si>
  <si>
    <r>
      <rPr>
        <u/>
        <sz val="11"/>
        <color theme="1"/>
        <rFont val="Calibri"/>
        <family val="2"/>
        <scheme val="minor"/>
      </rPr>
      <t>Note 1</t>
    </r>
    <r>
      <rPr>
        <sz val="11"/>
        <color theme="1"/>
        <rFont val="Calibri"/>
        <family val="2"/>
        <scheme val="minor"/>
      </rPr>
      <t>: Assumption - costs stay the same</t>
    </r>
  </si>
  <si>
    <r>
      <rPr>
        <u/>
        <sz val="11"/>
        <color theme="1"/>
        <rFont val="Calibri"/>
        <family val="2"/>
        <scheme val="minor"/>
      </rPr>
      <t>Note 3</t>
    </r>
    <r>
      <rPr>
        <sz val="11"/>
        <color theme="1"/>
        <rFont val="Calibri"/>
        <family val="2"/>
        <scheme val="minor"/>
      </rPr>
      <t>: Assumption: New program begins in FY 25/26</t>
    </r>
  </si>
  <si>
    <t>Collections (41xx)</t>
  </si>
  <si>
    <t>use average percentage increase of last three years</t>
  </si>
  <si>
    <t>Collection revenue (4101-4109,collections for maintenance, unrestricted donations 4401)</t>
  </si>
  <si>
    <t>FY 23/24 
(7 months)</t>
  </si>
  <si>
    <t>Projected</t>
  </si>
  <si>
    <t>from Tab "Exp-Other"</t>
  </si>
  <si>
    <t>from Tab "Exp-Payroll"</t>
  </si>
  <si>
    <t>Projected FY 23/24</t>
  </si>
  <si>
    <t>Buildings Maintenance</t>
  </si>
  <si>
    <t>Grounds Maintenance</t>
  </si>
  <si>
    <t>Maintenance Contracts</t>
  </si>
  <si>
    <t>based on existing maintenance contracts</t>
  </si>
  <si>
    <t>Total O&amp;M</t>
  </si>
  <si>
    <t>Contracted Services</t>
  </si>
  <si>
    <t>Benefits Admin Fee</t>
  </si>
  <si>
    <t>Insurance</t>
  </si>
  <si>
    <t>Equipment Lease</t>
  </si>
  <si>
    <t>FY24/25 based on budget letter; 5% increase succeeding years</t>
  </si>
  <si>
    <t>Total Contracted &amp; Prof Services</t>
  </si>
  <si>
    <t>Other Professional Services</t>
  </si>
  <si>
    <t>based on existing lease contracts</t>
  </si>
  <si>
    <t>Budget Assumptions</t>
  </si>
  <si>
    <t>HSA/FSA Admin Fee</t>
  </si>
  <si>
    <t>based on loan amortization schedule</t>
  </si>
  <si>
    <t>Utilities</t>
  </si>
  <si>
    <t>Travel</t>
  </si>
  <si>
    <t>Appreciation</t>
  </si>
  <si>
    <t>Assessments/Contribution</t>
  </si>
  <si>
    <t>annual increase of 2% based on 3-year average</t>
  </si>
  <si>
    <t>Direct school support</t>
  </si>
  <si>
    <t>Neighboring school support</t>
  </si>
  <si>
    <t>Other Program Expenses</t>
  </si>
  <si>
    <t>Department/Ministry Budgets (above)</t>
  </si>
  <si>
    <t>Fall Festival</t>
  </si>
  <si>
    <t>Jogathon</t>
  </si>
  <si>
    <t>Auction</t>
  </si>
  <si>
    <t>Spaghetti Dinner</t>
  </si>
  <si>
    <t>Total Fundrasing Income</t>
  </si>
  <si>
    <t>Fundraising Income</t>
  </si>
  <si>
    <t>Fundraising Expense</t>
  </si>
  <si>
    <t>Total Fundrasing Expense</t>
  </si>
  <si>
    <t>Net Fundraising Revenue</t>
  </si>
  <si>
    <t>use average rounded</t>
  </si>
  <si>
    <t>use average % of expense over income</t>
  </si>
  <si>
    <t>Fundraising Expenses</t>
  </si>
  <si>
    <t>Annual Appeal Rebate</t>
  </si>
  <si>
    <t>Total Collection Revenue</t>
  </si>
  <si>
    <t>from Tab "rev-collection"</t>
  </si>
  <si>
    <t>COLLECTION REVENUE</t>
  </si>
  <si>
    <t>Business</t>
  </si>
  <si>
    <t>Other Business Expenses</t>
  </si>
  <si>
    <t>Total Business Expenses</t>
  </si>
  <si>
    <t>PRF loan interest expenses (6105)</t>
  </si>
  <si>
    <t>Actual FY 23/24 (7 mos)</t>
  </si>
  <si>
    <t>Grant Revenue</t>
  </si>
  <si>
    <t>based on grant award</t>
  </si>
  <si>
    <t>Liturgy fees and stipends</t>
  </si>
  <si>
    <t>based on 3-year average</t>
  </si>
  <si>
    <t>Votive and flowers</t>
  </si>
  <si>
    <t>based on 3-year average rounded</t>
  </si>
  <si>
    <t>Total Gift Revenue</t>
  </si>
  <si>
    <t>Gift Revenue (44xx)</t>
  </si>
  <si>
    <t>Educational Revenue (42xx)</t>
  </si>
  <si>
    <t>Fundraisers (43xx)</t>
  </si>
  <si>
    <t>from Tab "rev-other"</t>
  </si>
  <si>
    <t>BUSINESS REVENUE (45xx)</t>
  </si>
  <si>
    <t>GIFT REVENUE (44xx)</t>
  </si>
  <si>
    <t>Total Business Revenue</t>
  </si>
  <si>
    <t>Business Revenue (45xx)</t>
  </si>
  <si>
    <t>EDUCATIONAL REVENUE (42XX)</t>
  </si>
  <si>
    <t>from Tab "fundraising rev &amp; exp"</t>
  </si>
  <si>
    <t>Program Expenses (57xx) incl school support</t>
  </si>
  <si>
    <t>Operations and Maintenance (58xx)</t>
  </si>
  <si>
    <t>Contracted Services (59xx) incl insurance</t>
  </si>
  <si>
    <t>Business Expenses (61xx)</t>
  </si>
  <si>
    <t>Utilities (63xx)</t>
  </si>
  <si>
    <t>Travel (64xx)</t>
  </si>
  <si>
    <t>Appreciations/Thank You/Celebrations (65xx)</t>
  </si>
  <si>
    <t>PROGRAM REVENUE (46xx)</t>
  </si>
  <si>
    <t>Program Revenue (46xx)</t>
  </si>
  <si>
    <t>Other Revenue (47xx)</t>
  </si>
  <si>
    <t>OTHER REVENUE (47xx)</t>
  </si>
  <si>
    <t>Data Source</t>
  </si>
  <si>
    <t>* Number of pay periods on which Col. B is based on</t>
  </si>
  <si>
    <t>Ave. % of expense over income</t>
  </si>
  <si>
    <t>annual increase based on inflation rate, based on 3-year average</t>
  </si>
  <si>
    <t>based on latest projected expense (FY23/24) +inflation rate increase</t>
  </si>
  <si>
    <t>estimate based on number of employees + inflation</t>
  </si>
  <si>
    <t>Ordinary Income</t>
  </si>
  <si>
    <t>Fundraising Revenue</t>
  </si>
  <si>
    <t>Lease income</t>
  </si>
  <si>
    <t>Lease expense</t>
  </si>
  <si>
    <t>Assessable fundraising revenue</t>
  </si>
  <si>
    <t>Assessable lease income</t>
  </si>
  <si>
    <t>Assessment rate</t>
  </si>
  <si>
    <t>assume same rate as FY 23/24 assessment</t>
  </si>
  <si>
    <t>% lease expense over revenue</t>
  </si>
  <si>
    <t>% fundraising expense over revenue</t>
  </si>
  <si>
    <t>Estimated Assessment</t>
  </si>
  <si>
    <t xml:space="preserve">Parish Assessment </t>
  </si>
  <si>
    <t>Parish Assesment</t>
  </si>
  <si>
    <t>Criminal Justice Assessment</t>
  </si>
  <si>
    <t>Deanery Assessment</t>
  </si>
  <si>
    <t>Total Assessments/Contributions</t>
  </si>
  <si>
    <t>Gross Assessable income</t>
  </si>
  <si>
    <t>Deductions:</t>
  </si>
  <si>
    <t>Capital deduction</t>
  </si>
  <si>
    <t>see Tab "Exp-program"</t>
  </si>
  <si>
    <t>Total Deductions</t>
  </si>
  <si>
    <t>Net Assesable Income</t>
  </si>
  <si>
    <t>from tab "rev-collection"</t>
  </si>
  <si>
    <t>from tab "fundraising rev &amp; exp)</t>
  </si>
  <si>
    <t>FY 24/25 based on budget letter; see below for succeeding years</t>
  </si>
  <si>
    <t>School support (direct)</t>
  </si>
  <si>
    <t>based on decisions made by parish and finance council, capped at 15% of assessable income</t>
  </si>
  <si>
    <t>use latest assessment rounded since not enough info for budget</t>
  </si>
  <si>
    <t>- if school incurs a loss, entire school support is deductible</t>
  </si>
  <si>
    <t>-  if school has a net profit:</t>
  </si>
  <si>
    <t>- if net profit is more than the school support, deduction is zero</t>
  </si>
  <si>
    <t>Note 1 - School Support Deduction</t>
  </si>
  <si>
    <t>see Tab "Exp-program"; assumes school incurs loss based on school budget; see note 1</t>
  </si>
  <si>
    <t>Actual
 FY 21/22</t>
  </si>
  <si>
    <t>Actual 
FY 22/23</t>
  </si>
  <si>
    <t>Actual  
FY 23/24</t>
  </si>
  <si>
    <t>from Tab "assessments"</t>
  </si>
  <si>
    <t>if % of fundraising expense is more than 15% of revenue, deduct actual fundraising expense; otherwise, deduct 15% of fundraising revenue; assessable fundraising revenue cannot be negative</t>
  </si>
  <si>
    <t xml:space="preserve">if % of lease expense is more than 15% of revenue, deduct actual lease expense; otherwise, deduct 15% of lease revenue; assessable lease revenue cannot be negative </t>
  </si>
  <si>
    <t>- if net profit is less than school support, thededuction is school support minus net profit</t>
  </si>
  <si>
    <t>Property 1</t>
  </si>
  <si>
    <t>Property 2</t>
  </si>
  <si>
    <t>Total Lease Income</t>
  </si>
  <si>
    <t>from Tab "lease rev &amp; exp"</t>
  </si>
  <si>
    <t>Lease revenue</t>
  </si>
  <si>
    <t>Other business revenue</t>
  </si>
  <si>
    <t>Total Lease expense</t>
  </si>
  <si>
    <t>Lease Revenue</t>
  </si>
  <si>
    <t>based on existing lease contract</t>
  </si>
  <si>
    <t>based on average % of lease expense over revenue</t>
  </si>
  <si>
    <t>ave % lease exp/rev</t>
  </si>
  <si>
    <t>Net lease revenue</t>
  </si>
  <si>
    <t>see Tab "lease rev &amp; exp"</t>
  </si>
  <si>
    <t>from tab "lease rev &amp; exp"</t>
  </si>
  <si>
    <t>Lease Expense</t>
  </si>
  <si>
    <t>Spring Bazaar</t>
  </si>
  <si>
    <t>Actual:</t>
  </si>
  <si>
    <t>Planned:</t>
  </si>
  <si>
    <t>FY 24/25 
Budget</t>
  </si>
  <si>
    <t>FY 25/26
 Budget</t>
  </si>
  <si>
    <t>FY 26/27 
Budget</t>
  </si>
  <si>
    <t>Total</t>
  </si>
  <si>
    <t>Projected FY 23/24 Taxes &amp; Benefits</t>
  </si>
  <si>
    <t>PROJECTED FY 23/24 EMPLOYER TAXES</t>
  </si>
  <si>
    <t>PROJECTED FY 23/24 EMPLOYER PAID BENEFITS</t>
  </si>
  <si>
    <t>Percentage increase assumption ---&gt;</t>
  </si>
  <si>
    <t>Enter school net profit or loss from school budget worksheet ---&gt;</t>
  </si>
  <si>
    <t>School support from Tab "Exp-Program"</t>
  </si>
  <si>
    <t>ENTER DATA ON HIGHLIGHTED CELLS</t>
  </si>
  <si>
    <t>assumed inflation rate</t>
  </si>
  <si>
    <t>amount approved by Finance Council; disbursed monthly</t>
  </si>
  <si>
    <t>amount approved by Finance Council; one-time disbursement</t>
  </si>
  <si>
    <t>Month budget is prepared</t>
  </si>
  <si>
    <t>Months elapsed</t>
  </si>
  <si>
    <t>Month</t>
  </si>
  <si>
    <t>Month value</t>
  </si>
  <si>
    <t>February</t>
  </si>
  <si>
    <t>March</t>
  </si>
  <si>
    <t>April</t>
  </si>
  <si>
    <t>May</t>
  </si>
  <si>
    <t>June</t>
  </si>
  <si>
    <t>July</t>
  </si>
  <si>
    <t>January</t>
  </si>
  <si>
    <t>August</t>
  </si>
  <si>
    <t>September</t>
  </si>
  <si>
    <t>October</t>
  </si>
  <si>
    <t>November</t>
  </si>
  <si>
    <t>December</t>
  </si>
  <si>
    <t>Enter month budget is created</t>
  </si>
  <si>
    <t>Number of months elapsed</t>
  </si>
  <si>
    <t>FY 23/24 Actual
as of months elapsed</t>
  </si>
  <si>
    <t>based on average of last 3 years rounded; projected FY 23/24 based on unfulfilled pledges</t>
  </si>
  <si>
    <t>FY 23/24  as of previous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</si>
</sst>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3333FF"/>
      <name val="Calibri"/>
      <family val="2"/>
      <scheme val="minor"/>
    </font>
    <font>
      <b/>
      <sz val="11"/>
      <color rgb="FF3333FF"/>
      <name val="Calibri"/>
      <family val="2"/>
      <scheme val="minor"/>
    </font>
    <font>
      <u/>
      <sz val="11"/>
      <color rgb="FF3333FF"/>
      <name val="Calibri"/>
      <family val="2"/>
      <scheme val="minor"/>
    </font>
    <font>
      <b/>
      <u/>
      <sz val="11"/>
      <color rgb="FF000000"/>
      <name val="Calibri"/>
      <family val="2"/>
    </font>
    <font>
      <b/>
      <u/>
      <sz val="11"/>
      <color rgb="FF3333FF"/>
      <name val="Calibri"/>
      <family val="2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3333FF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 wrapText="1"/>
    </xf>
    <xf numFmtId="9" fontId="0" fillId="0" borderId="0" xfId="2" applyFont="1"/>
    <xf numFmtId="10" fontId="0" fillId="0" borderId="0" xfId="2" applyNumberFormat="1" applyFont="1" applyFill="1"/>
    <xf numFmtId="10" fontId="0" fillId="0" borderId="0" xfId="2" applyNumberFormat="1" applyFont="1"/>
    <xf numFmtId="164" fontId="0" fillId="0" borderId="0" xfId="1" applyNumberFormat="1" applyFont="1"/>
    <xf numFmtId="164" fontId="7" fillId="3" borderId="0" xfId="1" applyNumberFormat="1" applyFont="1" applyFill="1"/>
    <xf numFmtId="164" fontId="0" fillId="0" borderId="0" xfId="1" applyNumberFormat="1" applyFont="1" applyAlignment="1">
      <alignment wrapText="1"/>
    </xf>
    <xf numFmtId="164" fontId="7" fillId="0" borderId="0" xfId="1" applyNumberFormat="1" applyFont="1" applyAlignment="1">
      <alignment horizontal="center" wrapText="1"/>
    </xf>
    <xf numFmtId="9" fontId="7" fillId="0" borderId="0" xfId="2" applyFont="1" applyAlignment="1">
      <alignment horizontal="center" wrapText="1"/>
    </xf>
    <xf numFmtId="9" fontId="0" fillId="0" borderId="0" xfId="2" applyFont="1" applyAlignment="1">
      <alignment horizontal="center"/>
    </xf>
    <xf numFmtId="164" fontId="8" fillId="0" borderId="0" xfId="1" applyNumberFormat="1" applyFont="1"/>
    <xf numFmtId="43" fontId="1" fillId="0" borderId="0" xfId="1" applyFont="1"/>
    <xf numFmtId="43" fontId="1" fillId="0" borderId="0" xfId="1" applyFont="1" applyAlignment="1">
      <alignment horizontal="center"/>
    </xf>
    <xf numFmtId="0" fontId="8" fillId="0" borderId="0" xfId="0" applyFont="1" applyAlignment="1">
      <alignment horizontal="center" wrapText="1"/>
    </xf>
    <xf numFmtId="164" fontId="8" fillId="0" borderId="0" xfId="1" applyNumberFormat="1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164" fontId="1" fillId="0" borderId="3" xfId="1" applyNumberFormat="1" applyFont="1" applyBorder="1"/>
    <xf numFmtId="0" fontId="8" fillId="0" borderId="0" xfId="0" applyFont="1" applyAlignment="1">
      <alignment horizontal="center"/>
    </xf>
    <xf numFmtId="164" fontId="9" fillId="0" borderId="3" xfId="1" applyNumberFormat="1" applyFont="1" applyBorder="1"/>
    <xf numFmtId="0" fontId="0" fillId="0" borderId="2" xfId="0" applyBorder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 wrapText="1"/>
    </xf>
    <xf numFmtId="164" fontId="0" fillId="0" borderId="0" xfId="1" applyNumberFormat="1" applyFont="1" applyAlignment="1">
      <alignment horizontal="left" indent="1"/>
    </xf>
    <xf numFmtId="164" fontId="1" fillId="2" borderId="3" xfId="1" applyNumberFormat="1" applyFont="1" applyFill="1" applyBorder="1"/>
    <xf numFmtId="164" fontId="9" fillId="2" borderId="3" xfId="1" applyNumberFormat="1" applyFont="1" applyFill="1" applyBorder="1"/>
    <xf numFmtId="164" fontId="0" fillId="0" borderId="0" xfId="2" applyNumberFormat="1" applyFont="1" applyFill="1"/>
    <xf numFmtId="0" fontId="1" fillId="0" borderId="1" xfId="0" applyFont="1" applyBorder="1"/>
    <xf numFmtId="164" fontId="1" fillId="0" borderId="3" xfId="0" applyNumberFormat="1" applyFont="1" applyBorder="1"/>
    <xf numFmtId="0" fontId="0" fillId="0" borderId="2" xfId="0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0" fontId="0" fillId="0" borderId="0" xfId="0" applyAlignment="1">
      <alignment horizontal="left" indent="2"/>
    </xf>
    <xf numFmtId="164" fontId="8" fillId="0" borderId="0" xfId="0" applyNumberFormat="1" applyFont="1"/>
    <xf numFmtId="164" fontId="8" fillId="0" borderId="4" xfId="0" applyNumberFormat="1" applyFont="1" applyBorder="1"/>
    <xf numFmtId="164" fontId="0" fillId="0" borderId="3" xfId="0" applyNumberFormat="1" applyBorder="1"/>
    <xf numFmtId="164" fontId="8" fillId="0" borderId="3" xfId="0" applyNumberFormat="1" applyFont="1" applyBorder="1"/>
    <xf numFmtId="0" fontId="0" fillId="0" borderId="0" xfId="0" applyAlignment="1">
      <alignment horizontal="left" indent="3"/>
    </xf>
    <xf numFmtId="164" fontId="0" fillId="0" borderId="3" xfId="1" applyNumberFormat="1" applyFont="1" applyBorder="1"/>
    <xf numFmtId="0" fontId="1" fillId="0" borderId="0" xfId="0" applyFont="1" applyAlignment="1">
      <alignment horizontal="left"/>
    </xf>
    <xf numFmtId="164" fontId="0" fillId="0" borderId="5" xfId="0" applyNumberFormat="1" applyBorder="1"/>
    <xf numFmtId="164" fontId="8" fillId="0" borderId="5" xfId="0" applyNumberFormat="1" applyFont="1" applyBorder="1"/>
    <xf numFmtId="0" fontId="0" fillId="0" borderId="0" xfId="0" applyAlignment="1">
      <alignment horizontal="left" wrapText="1" indent="2"/>
    </xf>
    <xf numFmtId="164" fontId="8" fillId="0" borderId="3" xfId="1" applyNumberFormat="1" applyFont="1" applyBorder="1"/>
    <xf numFmtId="0" fontId="1" fillId="0" borderId="0" xfId="0" applyFont="1" applyAlignment="1">
      <alignment wrapText="1"/>
    </xf>
    <xf numFmtId="164" fontId="1" fillId="0" borderId="4" xfId="1" applyNumberFormat="1" applyFont="1" applyBorder="1"/>
    <xf numFmtId="164" fontId="9" fillId="0" borderId="3" xfId="0" applyNumberFormat="1" applyFont="1" applyBorder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3" fontId="0" fillId="0" borderId="0" xfId="0" applyNumberFormat="1"/>
    <xf numFmtId="10" fontId="0" fillId="0" borderId="0" xfId="0" applyNumberFormat="1"/>
    <xf numFmtId="164" fontId="1" fillId="0" borderId="3" xfId="1" applyNumberFormat="1" applyFont="1" applyBorder="1" applyAlignment="1">
      <alignment wrapText="1"/>
    </xf>
    <xf numFmtId="10" fontId="1" fillId="0" borderId="3" xfId="2" applyNumberFormat="1" applyFont="1" applyBorder="1"/>
    <xf numFmtId="0" fontId="1" fillId="0" borderId="3" xfId="0" applyFont="1" applyBorder="1"/>
    <xf numFmtId="9" fontId="1" fillId="0" borderId="3" xfId="2" applyFont="1" applyBorder="1"/>
    <xf numFmtId="0" fontId="14" fillId="0" borderId="0" xfId="0" applyFont="1" applyAlignment="1">
      <alignment horizontal="left" indent="2"/>
    </xf>
    <xf numFmtId="164" fontId="1" fillId="0" borderId="0" xfId="0" applyNumberFormat="1" applyFont="1"/>
    <xf numFmtId="9" fontId="15" fillId="0" borderId="0" xfId="2" applyFont="1"/>
    <xf numFmtId="164" fontId="15" fillId="0" borderId="0" xfId="1" applyNumberFormat="1" applyFont="1"/>
    <xf numFmtId="164" fontId="15" fillId="0" borderId="0" xfId="0" applyNumberFormat="1" applyFont="1"/>
    <xf numFmtId="10" fontId="8" fillId="0" borderId="0" xfId="0" applyNumberFormat="1" applyFont="1" applyAlignment="1">
      <alignment horizontal="right"/>
    </xf>
    <xf numFmtId="164" fontId="0" fillId="0" borderId="0" xfId="1" applyNumberFormat="1" applyFont="1" applyBorder="1"/>
    <xf numFmtId="164" fontId="8" fillId="0" borderId="0" xfId="1" applyNumberFormat="1" applyFont="1" applyBorder="1"/>
    <xf numFmtId="164" fontId="15" fillId="0" borderId="0" xfId="1" applyNumberFormat="1" applyFont="1" applyBorder="1"/>
    <xf numFmtId="9" fontId="14" fillId="0" borderId="0" xfId="2" applyFont="1" applyBorder="1"/>
    <xf numFmtId="9" fontId="15" fillId="0" borderId="0" xfId="2" applyFont="1" applyBorder="1"/>
    <xf numFmtId="164" fontId="4" fillId="0" borderId="0" xfId="2" applyNumberFormat="1" applyFont="1" applyBorder="1"/>
    <xf numFmtId="164" fontId="9" fillId="0" borderId="0" xfId="1" applyNumberFormat="1" applyFont="1"/>
    <xf numFmtId="164" fontId="9" fillId="0" borderId="0" xfId="0" applyNumberFormat="1" applyFont="1"/>
    <xf numFmtId="164" fontId="9" fillId="0" borderId="2" xfId="2" applyNumberFormat="1" applyFont="1" applyBorder="1"/>
    <xf numFmtId="164" fontId="9" fillId="0" borderId="4" xfId="0" applyNumberFormat="1" applyFont="1" applyBorder="1"/>
    <xf numFmtId="0" fontId="16" fillId="0" borderId="0" xfId="0" applyFont="1" applyAlignment="1">
      <alignment horizontal="center" wrapText="1"/>
    </xf>
    <xf numFmtId="0" fontId="0" fillId="0" borderId="0" xfId="0" quotePrefix="1"/>
    <xf numFmtId="0" fontId="0" fillId="0" borderId="0" xfId="0" quotePrefix="1" applyAlignment="1">
      <alignment horizontal="left" indent="2"/>
    </xf>
    <xf numFmtId="164" fontId="0" fillId="0" borderId="0" xfId="1" applyNumberFormat="1" applyFont="1" applyAlignment="1">
      <alignment horizontal="left" indent="2"/>
    </xf>
    <xf numFmtId="10" fontId="7" fillId="0" borderId="0" xfId="2" applyNumberFormat="1" applyFont="1" applyAlignment="1">
      <alignment horizontal="center" wrapText="1"/>
    </xf>
    <xf numFmtId="43" fontId="1" fillId="0" borderId="3" xfId="1" applyFont="1" applyFill="1" applyBorder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9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4" borderId="0" xfId="0" applyFill="1"/>
    <xf numFmtId="164" fontId="0" fillId="4" borderId="0" xfId="1" applyNumberFormat="1" applyFont="1" applyFill="1" applyAlignment="1">
      <alignment wrapText="1"/>
    </xf>
    <xf numFmtId="164" fontId="7" fillId="5" borderId="0" xfId="1" applyNumberFormat="1" applyFont="1" applyFill="1"/>
    <xf numFmtId="164" fontId="7" fillId="5" borderId="0" xfId="0" applyNumberFormat="1" applyFont="1" applyFill="1"/>
    <xf numFmtId="164" fontId="0" fillId="4" borderId="0" xfId="1" applyNumberFormat="1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164" fontId="7" fillId="4" borderId="0" xfId="1" applyNumberFormat="1" applyFont="1" applyFill="1" applyAlignment="1">
      <alignment horizontal="center" wrapText="1"/>
    </xf>
    <xf numFmtId="10" fontId="1" fillId="0" borderId="0" xfId="2" applyNumberFormat="1" applyFont="1" applyBorder="1" applyAlignment="1">
      <alignment horizontal="center" vertical="center"/>
    </xf>
    <xf numFmtId="10" fontId="1" fillId="4" borderId="0" xfId="2" applyNumberFormat="1" applyFont="1" applyFill="1" applyBorder="1" applyAlignment="1">
      <alignment horizontal="center" vertical="center"/>
    </xf>
    <xf numFmtId="164" fontId="8" fillId="4" borderId="0" xfId="1" applyNumberFormat="1" applyFont="1" applyFill="1"/>
    <xf numFmtId="164" fontId="9" fillId="0" borderId="3" xfId="1" applyNumberFormat="1" applyFont="1" applyFill="1" applyBorder="1"/>
    <xf numFmtId="0" fontId="1" fillId="0" borderId="0" xfId="0" applyFont="1" applyAlignment="1">
      <alignment horizontal="center"/>
    </xf>
    <xf numFmtId="164" fontId="0" fillId="4" borderId="0" xfId="1" applyNumberFormat="1" applyFont="1" applyFill="1" applyAlignment="1">
      <alignment horizontal="left" indent="1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0" fillId="4" borderId="0" xfId="1" applyNumberFormat="1" applyFont="1" applyFill="1" applyAlignment="1">
      <alignment horizontal="left" indent="2"/>
    </xf>
    <xf numFmtId="164" fontId="9" fillId="0" borderId="4" xfId="1" applyNumberFormat="1" applyFont="1" applyFill="1" applyBorder="1"/>
    <xf numFmtId="0" fontId="2" fillId="4" borderId="0" xfId="0" applyFont="1" applyFill="1"/>
    <xf numFmtId="0" fontId="0" fillId="4" borderId="0" xfId="0" applyFill="1" applyAlignment="1">
      <alignment horizontal="right"/>
    </xf>
    <xf numFmtId="164" fontId="4" fillId="4" borderId="0" xfId="1" applyNumberFormat="1" applyFont="1" applyFill="1"/>
    <xf numFmtId="165" fontId="8" fillId="4" borderId="0" xfId="2" applyNumberFormat="1" applyFont="1" applyFill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0" fillId="7" borderId="6" xfId="0" applyFill="1" applyBorder="1"/>
    <xf numFmtId="0" fontId="0" fillId="7" borderId="7" xfId="0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4</xdr:row>
      <xdr:rowOff>11430</xdr:rowOff>
    </xdr:from>
    <xdr:to>
      <xdr:col>5</xdr:col>
      <xdr:colOff>232409</xdr:colOff>
      <xdr:row>33</xdr:row>
      <xdr:rowOff>175260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AA8D4D6-1AB6-C8D4-A002-654E7FB26CBA}"/>
            </a:ext>
          </a:extLst>
        </xdr:cNvPr>
        <xdr:cNvSpPr/>
      </xdr:nvSpPr>
      <xdr:spPr>
        <a:xfrm>
          <a:off x="5953124" y="392430"/>
          <a:ext cx="108585" cy="571881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Normal="100" workbookViewId="0">
      <selection activeCell="H3" sqref="H3"/>
    </sheetView>
  </sheetViews>
  <sheetFormatPr defaultRowHeight="15" x14ac:dyDescent="0.25"/>
  <cols>
    <col min="1" max="1" width="47.28515625" customWidth="1"/>
    <col min="2" max="7" width="14.7109375" hidden="1" customWidth="1"/>
    <col min="8" max="10" width="14.7109375" customWidth="1"/>
    <col min="11" max="11" width="1.85546875" customWidth="1"/>
    <col min="12" max="12" width="30.42578125" customWidth="1"/>
  </cols>
  <sheetData>
    <row r="1" spans="1:12" x14ac:dyDescent="0.25">
      <c r="A1" s="111" t="s">
        <v>236</v>
      </c>
    </row>
    <row r="2" spans="1:12" x14ac:dyDescent="0.25">
      <c r="A2" s="118"/>
    </row>
    <row r="3" spans="1:12" x14ac:dyDescent="0.25">
      <c r="A3" s="60" t="s">
        <v>256</v>
      </c>
      <c r="H3" s="111" t="s">
        <v>244</v>
      </c>
    </row>
    <row r="4" spans="1:12" x14ac:dyDescent="0.25">
      <c r="A4" s="60" t="s">
        <v>257</v>
      </c>
      <c r="H4" s="118">
        <f>VLOOKUP(H3,'month lookup'!$A$2:$B$13,2,FALSE)</f>
        <v>7</v>
      </c>
    </row>
    <row r="5" spans="1:12" x14ac:dyDescent="0.25">
      <c r="A5" s="118"/>
    </row>
    <row r="6" spans="1:12" s="3" customFormat="1" ht="30" x14ac:dyDescent="0.25">
      <c r="B6" s="4" t="s">
        <v>34</v>
      </c>
      <c r="C6" s="4" t="s">
        <v>37</v>
      </c>
      <c r="D6" s="4" t="s">
        <v>35</v>
      </c>
      <c r="E6" s="4" t="s">
        <v>37</v>
      </c>
      <c r="F6" s="4" t="s">
        <v>36</v>
      </c>
      <c r="G6" s="4" t="s">
        <v>5</v>
      </c>
      <c r="H6" s="16" t="s">
        <v>226</v>
      </c>
      <c r="I6" s="16" t="s">
        <v>227</v>
      </c>
      <c r="J6" s="16" t="s">
        <v>228</v>
      </c>
      <c r="K6" s="4"/>
      <c r="L6" s="4" t="s">
        <v>162</v>
      </c>
    </row>
    <row r="7" spans="1:12" x14ac:dyDescent="0.25">
      <c r="A7" s="1" t="s">
        <v>0</v>
      </c>
    </row>
    <row r="8" spans="1:12" x14ac:dyDescent="0.25">
      <c r="A8" t="s">
        <v>80</v>
      </c>
      <c r="H8" s="20">
        <f>+'rev-collection'!L7</f>
        <v>1381608.1472055679</v>
      </c>
      <c r="I8" s="20">
        <f>+'rev-collection'!M7</f>
        <v>1416765.3105741129</v>
      </c>
      <c r="J8" s="20">
        <f>+'rev-collection'!N7</f>
        <v>1452845.0824516087</v>
      </c>
      <c r="K8" s="20"/>
      <c r="L8" t="s">
        <v>127</v>
      </c>
    </row>
    <row r="9" spans="1:12" x14ac:dyDescent="0.25">
      <c r="A9" t="s">
        <v>142</v>
      </c>
      <c r="H9" s="20">
        <f>+'rev-other'!H5</f>
        <v>2000</v>
      </c>
      <c r="I9" s="20">
        <f>+'rev-other'!I5</f>
        <v>2000</v>
      </c>
      <c r="J9" s="20">
        <f>+'rev-other'!J5</f>
        <v>2000</v>
      </c>
      <c r="K9" s="20"/>
      <c r="L9" t="s">
        <v>144</v>
      </c>
    </row>
    <row r="10" spans="1:12" x14ac:dyDescent="0.25">
      <c r="A10" t="s">
        <v>143</v>
      </c>
      <c r="H10" s="20">
        <f>+'fundraising rev &amp; exp'!G12</f>
        <v>118600</v>
      </c>
      <c r="I10" s="20">
        <f>+'fundraising rev &amp; exp'!H12</f>
        <v>118600</v>
      </c>
      <c r="J10" s="20">
        <f>+'fundraising rev &amp; exp'!I12</f>
        <v>118600</v>
      </c>
      <c r="L10" t="s">
        <v>150</v>
      </c>
    </row>
    <row r="11" spans="1:12" x14ac:dyDescent="0.25">
      <c r="A11" t="s">
        <v>141</v>
      </c>
      <c r="H11" s="20">
        <f>+'rev-other'!H11</f>
        <v>28500</v>
      </c>
      <c r="I11" s="20">
        <f>+'rev-other'!I11</f>
        <v>18500</v>
      </c>
      <c r="J11" s="20">
        <f>+'rev-other'!J11</f>
        <v>18500</v>
      </c>
      <c r="L11" t="s">
        <v>144</v>
      </c>
    </row>
    <row r="12" spans="1:12" x14ac:dyDescent="0.25">
      <c r="A12" t="s">
        <v>148</v>
      </c>
      <c r="H12" s="20">
        <f>+'rev-other'!H16</f>
        <v>29100</v>
      </c>
      <c r="I12" s="20">
        <f>+'rev-other'!I16</f>
        <v>29100</v>
      </c>
      <c r="J12" s="20">
        <f>+'rev-other'!J16</f>
        <v>29100</v>
      </c>
      <c r="L12" t="s">
        <v>144</v>
      </c>
    </row>
    <row r="13" spans="1:12" x14ac:dyDescent="0.25">
      <c r="A13" t="s">
        <v>159</v>
      </c>
      <c r="H13" s="20">
        <f>+'rev-other'!H18</f>
        <v>127000</v>
      </c>
      <c r="I13" s="20">
        <f>+'rev-other'!I18</f>
        <v>127000</v>
      </c>
      <c r="J13" s="20">
        <f>+'rev-other'!J18</f>
        <v>127000</v>
      </c>
      <c r="L13" t="s">
        <v>144</v>
      </c>
    </row>
    <row r="14" spans="1:12" x14ac:dyDescent="0.25">
      <c r="A14" t="s">
        <v>160</v>
      </c>
      <c r="H14" s="20">
        <f>+'rev-other'!H20</f>
        <v>8700</v>
      </c>
      <c r="I14" s="20">
        <f>+'rev-other'!I20</f>
        <v>8700</v>
      </c>
      <c r="J14" s="20">
        <f>+'rev-other'!J20</f>
        <v>8700</v>
      </c>
      <c r="L14" t="s">
        <v>144</v>
      </c>
    </row>
    <row r="15" spans="1:12" ht="15.75" thickBot="1" x14ac:dyDescent="0.3">
      <c r="A15" s="48" t="s">
        <v>1</v>
      </c>
      <c r="B15" s="1"/>
      <c r="C15" s="1"/>
      <c r="D15" s="1"/>
      <c r="E15" s="1"/>
      <c r="F15" s="1"/>
      <c r="G15" s="1"/>
      <c r="H15" s="49">
        <f>SUM(H8:H14)</f>
        <v>1695508.1472055679</v>
      </c>
      <c r="I15" s="49">
        <f t="shared" ref="I15:J15" si="0">SUM(I8:I14)</f>
        <v>1720665.3105741129</v>
      </c>
      <c r="J15" s="49">
        <f t="shared" si="0"/>
        <v>1756745.0824516087</v>
      </c>
    </row>
    <row r="16" spans="1:12" ht="15.75" thickTop="1" x14ac:dyDescent="0.25"/>
    <row r="17" spans="1:12" x14ac:dyDescent="0.25">
      <c r="A17" s="1" t="s">
        <v>2</v>
      </c>
    </row>
    <row r="18" spans="1:12" x14ac:dyDescent="0.25">
      <c r="A18" t="s">
        <v>3</v>
      </c>
      <c r="H18" s="20">
        <f>+'Exp-payroll'!N14</f>
        <v>344760</v>
      </c>
      <c r="I18" s="20">
        <f>+'Exp-payroll'!O14</f>
        <v>351655.2</v>
      </c>
      <c r="J18" s="20">
        <f>+'Exp-payroll'!P14</f>
        <v>358688.304</v>
      </c>
      <c r="K18" s="20"/>
      <c r="L18" t="s">
        <v>86</v>
      </c>
    </row>
    <row r="19" spans="1:12" x14ac:dyDescent="0.25">
      <c r="A19" t="s">
        <v>42</v>
      </c>
      <c r="H19" s="20">
        <f>+'Exp-payroll'!R14</f>
        <v>27103.024696800003</v>
      </c>
      <c r="I19" s="20">
        <f>+'Exp-payroll'!S14</f>
        <v>33315.871896527999</v>
      </c>
      <c r="J19" s="20">
        <f>+'Exp-payroll'!T14</f>
        <v>33982.189334458555</v>
      </c>
      <c r="K19" s="31"/>
      <c r="L19" t="s">
        <v>86</v>
      </c>
    </row>
    <row r="20" spans="1:12" x14ac:dyDescent="0.25">
      <c r="A20" t="s">
        <v>43</v>
      </c>
      <c r="H20" s="20">
        <f>+'Exp-payroll'!V14</f>
        <v>99785.919999999998</v>
      </c>
      <c r="I20" s="20">
        <f>+'Exp-payroll'!W14</f>
        <v>101781.63840000001</v>
      </c>
      <c r="J20" s="20">
        <f>+'Exp-payroll'!X14</f>
        <v>103817.27116800001</v>
      </c>
      <c r="K20" s="31"/>
      <c r="L20" t="s">
        <v>86</v>
      </c>
    </row>
    <row r="21" spans="1:12" x14ac:dyDescent="0.25">
      <c r="A21" t="s">
        <v>4</v>
      </c>
      <c r="H21" s="20">
        <f>+'Exp-Other'!G9</f>
        <v>48212</v>
      </c>
      <c r="I21" s="20">
        <f>+'Exp-Other'!H9</f>
        <v>49176.24</v>
      </c>
      <c r="J21" s="20">
        <f>+'Exp-Other'!I9</f>
        <v>50159.764799999997</v>
      </c>
      <c r="L21" t="s">
        <v>85</v>
      </c>
    </row>
    <row r="22" spans="1:12" x14ac:dyDescent="0.25">
      <c r="A22" t="s">
        <v>151</v>
      </c>
      <c r="H22" s="20">
        <f>+'Exp-Program'!G46</f>
        <v>85409.194285714286</v>
      </c>
      <c r="I22" s="20">
        <f>+'Exp-Program'!H46</f>
        <v>97619.378171428572</v>
      </c>
      <c r="J22" s="20">
        <f>+'Exp-Program'!I46</f>
        <v>84480.765734857152</v>
      </c>
      <c r="K22" s="31"/>
      <c r="L22" t="s">
        <v>69</v>
      </c>
    </row>
    <row r="23" spans="1:12" x14ac:dyDescent="0.25">
      <c r="A23" t="s">
        <v>152</v>
      </c>
      <c r="H23" s="20">
        <f>+'Exp-Other'!G15</f>
        <v>76969.166666666657</v>
      </c>
      <c r="I23" s="20">
        <f>+'Exp-Other'!H15</f>
        <v>78291.519166666665</v>
      </c>
      <c r="J23" s="20">
        <f>+'Exp-Other'!I15</f>
        <v>79577.349549999999</v>
      </c>
      <c r="L23" t="s">
        <v>85</v>
      </c>
    </row>
    <row r="24" spans="1:12" x14ac:dyDescent="0.25">
      <c r="A24" t="s">
        <v>153</v>
      </c>
      <c r="H24" s="20">
        <f>+'Exp-Other'!G23</f>
        <v>166364.5</v>
      </c>
      <c r="I24" s="20">
        <f>+'Exp-Other'!H23</f>
        <v>179298.95049999998</v>
      </c>
      <c r="J24" s="20">
        <f>+'Exp-Other'!I23</f>
        <v>185898.57951000001</v>
      </c>
      <c r="L24" t="s">
        <v>85</v>
      </c>
    </row>
    <row r="25" spans="1:12" x14ac:dyDescent="0.25">
      <c r="A25" t="s">
        <v>124</v>
      </c>
      <c r="H25" s="20">
        <f>+'fundraising rev &amp; exp'!G22</f>
        <v>78720.874614157685</v>
      </c>
      <c r="I25" s="20">
        <f>+'fundraising rev &amp; exp'!H22</f>
        <v>78720.874614157685</v>
      </c>
      <c r="J25" s="20">
        <f>+'fundraising rev &amp; exp'!I22</f>
        <v>78720.874614157685</v>
      </c>
      <c r="L25" t="s">
        <v>150</v>
      </c>
    </row>
    <row r="26" spans="1:12" x14ac:dyDescent="0.25">
      <c r="A26" t="s">
        <v>154</v>
      </c>
      <c r="H26" s="20">
        <f>+'Exp-Other'!G36</f>
        <v>174436.23809523808</v>
      </c>
      <c r="I26" s="20">
        <f>+'Exp-Other'!H36</f>
        <v>173944.88709523808</v>
      </c>
      <c r="J26" s="20">
        <f>+'Exp-Other'!I36</f>
        <v>173447.77340857143</v>
      </c>
      <c r="L26" t="s">
        <v>85</v>
      </c>
    </row>
    <row r="27" spans="1:12" x14ac:dyDescent="0.25">
      <c r="A27" t="s">
        <v>155</v>
      </c>
      <c r="H27" s="20">
        <f>+'Exp-Other'!G26</f>
        <v>93075.857142857145</v>
      </c>
      <c r="I27" s="20">
        <f>+'Exp-Other'!H26</f>
        <v>95030.450142857138</v>
      </c>
      <c r="J27" s="20">
        <f>+'Exp-Other'!I26</f>
        <v>96931.059145714287</v>
      </c>
      <c r="L27" t="s">
        <v>85</v>
      </c>
    </row>
    <row r="28" spans="1:12" x14ac:dyDescent="0.25">
      <c r="A28" t="s">
        <v>156</v>
      </c>
      <c r="H28" s="20">
        <f>+'Exp-Other'!G28</f>
        <v>18523.214285714283</v>
      </c>
      <c r="I28" s="20">
        <f>+'Exp-Other'!H28</f>
        <v>18912.201785714282</v>
      </c>
      <c r="J28" s="20">
        <f>+'Exp-Other'!I28</f>
        <v>19290.44582142857</v>
      </c>
      <c r="L28" t="s">
        <v>85</v>
      </c>
    </row>
    <row r="29" spans="1:12" x14ac:dyDescent="0.25">
      <c r="A29" t="s">
        <v>157</v>
      </c>
      <c r="H29" s="20">
        <f>+'Exp-Other'!G30</f>
        <v>17330.309523809523</v>
      </c>
      <c r="I29" s="20">
        <f>+'Exp-Other'!H30</f>
        <v>17694.246023809523</v>
      </c>
      <c r="J29" s="20">
        <f>+'Exp-Other'!I30</f>
        <v>18048.130944285713</v>
      </c>
      <c r="L29" t="s">
        <v>85</v>
      </c>
    </row>
    <row r="30" spans="1:12" x14ac:dyDescent="0.25">
      <c r="A30" t="s">
        <v>10</v>
      </c>
      <c r="H30" s="20">
        <f>+assessments!F8</f>
        <v>154841</v>
      </c>
      <c r="I30" s="20">
        <f>+assessments!G8</f>
        <v>152400.67587555884</v>
      </c>
      <c r="J30" s="20">
        <f>+assessments!H8</f>
        <v>152676.31545859473</v>
      </c>
      <c r="K30" s="20">
        <f>+assessments!I4</f>
        <v>0</v>
      </c>
      <c r="L30" t="s">
        <v>204</v>
      </c>
    </row>
    <row r="31" spans="1:12" x14ac:dyDescent="0.25">
      <c r="A31" s="1" t="s">
        <v>7</v>
      </c>
      <c r="B31" s="1"/>
      <c r="C31" s="1"/>
      <c r="D31" s="1"/>
      <c r="E31" s="1"/>
      <c r="F31" s="1"/>
      <c r="G31" s="1"/>
      <c r="H31" s="66">
        <f>SUM(H18:H30)</f>
        <v>1385531.2993109575</v>
      </c>
      <c r="I31" s="66">
        <f>SUM(I18:I30)</f>
        <v>1427842.1336719589</v>
      </c>
      <c r="J31" s="66">
        <f>SUM(J18:J30)</f>
        <v>1435718.8234900685</v>
      </c>
    </row>
    <row r="32" spans="1:12" ht="27.6" customHeight="1" thickBot="1" x14ac:dyDescent="0.3">
      <c r="A32" s="1" t="s">
        <v>9</v>
      </c>
      <c r="H32" s="38">
        <f>+H15-H31</f>
        <v>309976.84789461037</v>
      </c>
      <c r="I32" s="38">
        <f>+I15-I31</f>
        <v>292823.17690215399</v>
      </c>
      <c r="J32" s="38">
        <f>+J15-J31</f>
        <v>321026.25896154018</v>
      </c>
    </row>
    <row r="33" spans="1:11" ht="15.75" thickTop="1" x14ac:dyDescent="0.25"/>
    <row r="34" spans="1:11" x14ac:dyDescent="0.25">
      <c r="A34" t="s">
        <v>8</v>
      </c>
      <c r="H34" s="109">
        <v>250000</v>
      </c>
      <c r="I34" s="109">
        <v>250000</v>
      </c>
      <c r="J34" s="109">
        <v>250000</v>
      </c>
      <c r="K34" s="20"/>
    </row>
    <row r="35" spans="1:11" ht="15.75" thickBot="1" x14ac:dyDescent="0.3">
      <c r="A35" s="1" t="s">
        <v>6</v>
      </c>
      <c r="B35" s="1"/>
      <c r="C35" s="1"/>
      <c r="D35" s="1"/>
      <c r="E35" s="1"/>
      <c r="F35" s="1"/>
      <c r="G35" s="1"/>
      <c r="H35" s="49">
        <f>+H32-H34</f>
        <v>59976.847894610371</v>
      </c>
      <c r="I35" s="49">
        <f t="shared" ref="I35:J35" si="1">+I32-I34</f>
        <v>42823.176902153995</v>
      </c>
      <c r="J35" s="49">
        <f t="shared" si="1"/>
        <v>71026.258961540181</v>
      </c>
    </row>
    <row r="36" spans="1:11" ht="15.75" thickTop="1" x14ac:dyDescent="0.25"/>
  </sheetData>
  <dataValidations count="1">
    <dataValidation type="list" allowBlank="1" showInputMessage="1" showErrorMessage="1" sqref="H3" xr:uid="{1D41EB73-DB4A-4F0D-9FB3-5399825A4845}">
      <formula1>"July, August, September, October, November, December, January, February, March, April, May, June"</formula1>
    </dataValidation>
  </dataValidations>
  <pageMargins left="0.7" right="0.7" top="1" bottom="0.75" header="0.3" footer="0.3"/>
  <pageSetup scale="90" orientation="landscape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9B6A-09EB-43BB-94E6-A2188D676DE0}">
  <sheetPr>
    <pageSetUpPr fitToPage="1"/>
  </sheetPr>
  <dimension ref="A1:J38"/>
  <sheetViews>
    <sheetView zoomScaleNormal="100" workbookViewId="0">
      <pane ySplit="3" topLeftCell="A16" activePane="bottomLeft" state="frozen"/>
      <selection activeCell="M15" sqref="M15"/>
      <selection pane="bottomLeft" activeCell="M15" sqref="M15"/>
    </sheetView>
  </sheetViews>
  <sheetFormatPr defaultRowHeight="15" x14ac:dyDescent="0.25"/>
  <cols>
    <col min="1" max="1" width="32.7109375" bestFit="1" customWidth="1"/>
    <col min="2" max="4" width="11.7109375" customWidth="1"/>
    <col min="5" max="5" width="2.28515625" customWidth="1"/>
    <col min="7" max="8" width="12.5703125" customWidth="1"/>
    <col min="9" max="9" width="2.7109375" customWidth="1"/>
    <col min="10" max="10" width="57.7109375" bestFit="1" customWidth="1"/>
  </cols>
  <sheetData>
    <row r="1" spans="1:10" x14ac:dyDescent="0.25">
      <c r="A1" s="120" t="s">
        <v>236</v>
      </c>
    </row>
    <row r="3" spans="1:10" ht="30" x14ac:dyDescent="0.25">
      <c r="B3" s="16" t="s">
        <v>201</v>
      </c>
      <c r="C3" s="16" t="s">
        <v>202</v>
      </c>
      <c r="D3" s="16" t="s">
        <v>203</v>
      </c>
      <c r="E3" s="16"/>
      <c r="F3" s="43" t="s">
        <v>40</v>
      </c>
      <c r="G3" s="43" t="s">
        <v>50</v>
      </c>
      <c r="H3" s="43" t="s">
        <v>51</v>
      </c>
      <c r="J3" s="93" t="s">
        <v>101</v>
      </c>
    </row>
    <row r="4" spans="1:10" x14ac:dyDescent="0.25">
      <c r="A4" s="1" t="s">
        <v>107</v>
      </c>
      <c r="B4" s="1"/>
      <c r="C4" s="1"/>
      <c r="D4" s="1"/>
      <c r="E4" s="1"/>
      <c r="F4" s="26"/>
      <c r="G4" s="26"/>
      <c r="H4" s="26"/>
      <c r="I4" s="42"/>
    </row>
    <row r="5" spans="1:10" x14ac:dyDescent="0.25">
      <c r="A5" s="53" t="s">
        <v>179</v>
      </c>
      <c r="B5" s="53"/>
      <c r="C5" s="53"/>
      <c r="D5" s="53"/>
      <c r="E5" s="53"/>
      <c r="F5" s="26">
        <v>143541</v>
      </c>
      <c r="G5" s="26">
        <f>+G28</f>
        <v>141100.67587555884</v>
      </c>
      <c r="H5" s="26">
        <f>+H28</f>
        <v>141376.31545859473</v>
      </c>
      <c r="I5" s="42"/>
      <c r="J5" t="s">
        <v>192</v>
      </c>
    </row>
    <row r="6" spans="1:10" x14ac:dyDescent="0.25">
      <c r="A6" s="53" t="s">
        <v>181</v>
      </c>
      <c r="B6" s="122">
        <v>4900</v>
      </c>
      <c r="C6" s="122">
        <v>5300</v>
      </c>
      <c r="D6" s="122">
        <v>5450</v>
      </c>
      <c r="E6" s="96"/>
      <c r="F6" s="26">
        <f>+ROUND($D6,-2)</f>
        <v>5500</v>
      </c>
      <c r="G6" s="26">
        <f t="shared" ref="G6:H7" si="0">+ROUND($D6,-2)</f>
        <v>5500</v>
      </c>
      <c r="H6" s="26">
        <f t="shared" si="0"/>
        <v>5500</v>
      </c>
      <c r="I6" s="42"/>
      <c r="J6" t="s">
        <v>195</v>
      </c>
    </row>
    <row r="7" spans="1:10" x14ac:dyDescent="0.25">
      <c r="A7" s="53" t="s">
        <v>182</v>
      </c>
      <c r="B7" s="122">
        <v>6880</v>
      </c>
      <c r="C7" s="122">
        <v>4625</v>
      </c>
      <c r="D7" s="122">
        <v>5820</v>
      </c>
      <c r="E7" s="96"/>
      <c r="F7" s="26">
        <f>+ROUND($D7,-2)</f>
        <v>5800</v>
      </c>
      <c r="G7" s="26">
        <f t="shared" si="0"/>
        <v>5800</v>
      </c>
      <c r="H7" s="26">
        <f t="shared" si="0"/>
        <v>5800</v>
      </c>
      <c r="I7" s="42"/>
      <c r="J7" t="s">
        <v>195</v>
      </c>
    </row>
    <row r="8" spans="1:10" x14ac:dyDescent="0.25">
      <c r="A8" s="60" t="s">
        <v>183</v>
      </c>
      <c r="B8" s="60"/>
      <c r="C8" s="60"/>
      <c r="D8" s="60"/>
      <c r="E8" s="60"/>
      <c r="F8" s="123">
        <f>SUM(F5:F7)</f>
        <v>154841</v>
      </c>
      <c r="G8" s="123">
        <f>SUM(G5:G7)</f>
        <v>152400.67587555884</v>
      </c>
      <c r="H8" s="123">
        <f>SUM(H5:H7)</f>
        <v>152676.31545859473</v>
      </c>
      <c r="I8" s="42"/>
    </row>
    <row r="9" spans="1:10" x14ac:dyDescent="0.25">
      <c r="F9" s="26"/>
      <c r="G9" s="26"/>
      <c r="H9" s="26"/>
      <c r="I9" s="42"/>
    </row>
    <row r="10" spans="1:10" x14ac:dyDescent="0.25">
      <c r="A10" s="2" t="s">
        <v>180</v>
      </c>
      <c r="B10" s="2"/>
      <c r="C10" s="2"/>
      <c r="D10" s="2"/>
      <c r="E10" s="2"/>
      <c r="F10" s="42"/>
      <c r="G10" s="42"/>
      <c r="H10" s="42"/>
      <c r="I10" s="42"/>
    </row>
    <row r="11" spans="1:10" x14ac:dyDescent="0.25">
      <c r="A11" t="s">
        <v>168</v>
      </c>
      <c r="F11" s="84"/>
      <c r="G11" s="89">
        <f>+'rev-collection'!M5</f>
        <v>1374865.3105741129</v>
      </c>
      <c r="H11" s="89">
        <f>+'rev-collection'!N5</f>
        <v>1410945.0824516087</v>
      </c>
      <c r="I11" s="42"/>
      <c r="J11" t="s">
        <v>190</v>
      </c>
    </row>
    <row r="12" spans="1:10" x14ac:dyDescent="0.25">
      <c r="A12" s="77" t="s">
        <v>169</v>
      </c>
      <c r="B12" s="77"/>
      <c r="C12" s="77"/>
      <c r="D12" s="77"/>
      <c r="E12" s="77"/>
      <c r="F12" s="85"/>
      <c r="G12" s="80">
        <f>+'fundraising rev &amp; exp'!H12</f>
        <v>118600</v>
      </c>
      <c r="H12" s="80">
        <f>+'fundraising rev &amp; exp'!I12</f>
        <v>118600</v>
      </c>
      <c r="I12" s="42"/>
      <c r="J12" t="s">
        <v>191</v>
      </c>
    </row>
    <row r="13" spans="1:10" x14ac:dyDescent="0.25">
      <c r="A13" s="77" t="s">
        <v>119</v>
      </c>
      <c r="B13" s="77"/>
      <c r="C13" s="77"/>
      <c r="D13" s="77"/>
      <c r="E13" s="77"/>
      <c r="F13" s="85"/>
      <c r="G13" s="80">
        <f>+'fundraising rev &amp; exp'!H22</f>
        <v>78720.874614157685</v>
      </c>
      <c r="H13" s="80">
        <f>+'fundraising rev &amp; exp'!I22</f>
        <v>78720.874614157685</v>
      </c>
      <c r="I13" s="42"/>
      <c r="J13" t="s">
        <v>191</v>
      </c>
    </row>
    <row r="14" spans="1:10" x14ac:dyDescent="0.25">
      <c r="A14" s="77" t="s">
        <v>177</v>
      </c>
      <c r="B14" s="77"/>
      <c r="C14" s="77"/>
      <c r="D14" s="77"/>
      <c r="E14" s="77"/>
      <c r="F14" s="87"/>
      <c r="G14" s="79">
        <f>+G13/G12</f>
        <v>0.66375105070959262</v>
      </c>
      <c r="H14" s="79">
        <f>+H13/H12</f>
        <v>0.66375105070959262</v>
      </c>
      <c r="I14" s="42"/>
      <c r="J14" t="s">
        <v>191</v>
      </c>
    </row>
    <row r="15" spans="1:10" ht="60" x14ac:dyDescent="0.25">
      <c r="A15" t="s">
        <v>172</v>
      </c>
      <c r="F15" s="83"/>
      <c r="G15" s="91">
        <f>+IF(G14&gt;0.15,G12-G13,G12*0.15)</f>
        <v>39879.125385842315</v>
      </c>
      <c r="H15" s="91">
        <f>+IF(H14&gt;0.15,H12-H13,H12*0.15)</f>
        <v>39879.125385842315</v>
      </c>
      <c r="I15" s="42"/>
      <c r="J15" s="10" t="s">
        <v>205</v>
      </c>
    </row>
    <row r="16" spans="1:10" x14ac:dyDescent="0.25">
      <c r="A16" s="77" t="s">
        <v>170</v>
      </c>
      <c r="B16" s="77"/>
      <c r="C16" s="77"/>
      <c r="D16" s="77"/>
      <c r="E16" s="77"/>
      <c r="F16" s="85"/>
      <c r="G16" s="80">
        <f>+'lease rev &amp; exp'!I8</f>
        <v>364800</v>
      </c>
      <c r="H16" s="80">
        <f>+'lease rev &amp; exp'!J8</f>
        <v>364800</v>
      </c>
      <c r="I16" s="42"/>
      <c r="J16" t="s">
        <v>221</v>
      </c>
    </row>
    <row r="17" spans="1:10" x14ac:dyDescent="0.25">
      <c r="A17" s="77" t="s">
        <v>171</v>
      </c>
      <c r="B17" s="77"/>
      <c r="C17" s="77"/>
      <c r="D17" s="77"/>
      <c r="E17" s="77"/>
      <c r="F17" s="81"/>
      <c r="G17" s="81">
        <f>+'Exp-Other'!H34</f>
        <v>146000.57142857142</v>
      </c>
      <c r="H17" s="81">
        <f>+'Exp-Other'!I34</f>
        <v>146000.57142857142</v>
      </c>
      <c r="I17" s="42"/>
      <c r="J17" t="s">
        <v>221</v>
      </c>
    </row>
    <row r="18" spans="1:10" x14ac:dyDescent="0.25">
      <c r="A18" s="77" t="s">
        <v>176</v>
      </c>
      <c r="B18" s="77"/>
      <c r="C18" s="77"/>
      <c r="D18" s="77"/>
      <c r="E18" s="77"/>
      <c r="F18" s="86"/>
      <c r="G18" s="79">
        <f>+G17/G16</f>
        <v>0.40022086466165413</v>
      </c>
      <c r="H18" s="79">
        <f>+H17/H16</f>
        <v>0.40022086466165413</v>
      </c>
      <c r="I18" s="42"/>
    </row>
    <row r="19" spans="1:10" ht="45" x14ac:dyDescent="0.25">
      <c r="A19" t="s">
        <v>173</v>
      </c>
      <c r="C19" s="15"/>
      <c r="F19" s="88"/>
      <c r="G19" s="91">
        <f>+IF(G18&gt;0.15,G16-G17,G16*0.15)</f>
        <v>218799.42857142858</v>
      </c>
      <c r="H19" s="91">
        <f>+IF(H18&gt;0.15,H16-H17,H16*0.15)</f>
        <v>218799.42857142858</v>
      </c>
      <c r="I19" s="42"/>
      <c r="J19" s="10" t="s">
        <v>206</v>
      </c>
    </row>
    <row r="20" spans="1:10" x14ac:dyDescent="0.25">
      <c r="A20" t="s">
        <v>184</v>
      </c>
      <c r="F20" s="31"/>
      <c r="G20" s="55">
        <f>+G11+G12-G13+G16-G17</f>
        <v>1633543.8645313838</v>
      </c>
      <c r="H20" s="55">
        <f>+H11+H12-H13+H16-H17</f>
        <v>1669623.6364088797</v>
      </c>
      <c r="I20" s="42"/>
    </row>
    <row r="21" spans="1:10" ht="22.15" customHeight="1" x14ac:dyDescent="0.25">
      <c r="A21" t="s">
        <v>185</v>
      </c>
      <c r="F21" s="78"/>
      <c r="G21" s="90"/>
      <c r="H21" s="90"/>
      <c r="I21" s="42"/>
    </row>
    <row r="22" spans="1:10" ht="30" x14ac:dyDescent="0.25">
      <c r="A22" s="53" t="s">
        <v>193</v>
      </c>
      <c r="B22" s="53"/>
      <c r="C22" s="53"/>
      <c r="D22" s="53"/>
      <c r="E22" s="53"/>
      <c r="F22" s="31"/>
      <c r="G22" s="54">
        <f>IF(G36&lt;0,G37,IF((G36-G37)&gt;0,0,G37-G36))</f>
        <v>2000</v>
      </c>
      <c r="H22" s="54">
        <f>IF(H36&lt;0,H37,IF((H36-H37)&gt;0,0,H37-H36))</f>
        <v>50000</v>
      </c>
      <c r="I22" s="42"/>
      <c r="J22" s="10" t="s">
        <v>200</v>
      </c>
    </row>
    <row r="23" spans="1:10" x14ac:dyDescent="0.25">
      <c r="A23" s="53" t="s">
        <v>110</v>
      </c>
      <c r="B23" s="53"/>
      <c r="C23" s="53"/>
      <c r="D23" s="53"/>
      <c r="E23" s="53"/>
      <c r="F23" s="31"/>
      <c r="G23" s="54">
        <f>+'Exp-Program'!H43</f>
        <v>10000</v>
      </c>
      <c r="H23" s="54">
        <f>+'Exp-Program'!I43</f>
        <v>10000</v>
      </c>
      <c r="I23" s="42"/>
      <c r="J23" t="s">
        <v>187</v>
      </c>
    </row>
    <row r="24" spans="1:10" ht="30" x14ac:dyDescent="0.25">
      <c r="A24" s="53" t="s">
        <v>186</v>
      </c>
      <c r="B24" s="53"/>
      <c r="C24" s="53"/>
      <c r="D24" s="53"/>
      <c r="E24" s="53"/>
      <c r="F24" s="31"/>
      <c r="G24" s="54">
        <v>45000</v>
      </c>
      <c r="H24" s="54">
        <v>30000</v>
      </c>
      <c r="I24" s="42"/>
      <c r="J24" s="10" t="s">
        <v>194</v>
      </c>
    </row>
    <row r="25" spans="1:10" x14ac:dyDescent="0.25">
      <c r="A25" t="s">
        <v>188</v>
      </c>
      <c r="F25" s="31"/>
      <c r="G25" s="92">
        <f>SUM(G22:G24)</f>
        <v>57000</v>
      </c>
      <c r="H25" s="92">
        <f>SUM(H22:H24)</f>
        <v>90000</v>
      </c>
      <c r="I25" s="42"/>
    </row>
    <row r="26" spans="1:10" x14ac:dyDescent="0.25">
      <c r="A26" t="s">
        <v>189</v>
      </c>
      <c r="F26" s="31"/>
      <c r="G26" s="90">
        <f>+G20-G25</f>
        <v>1576543.8645313838</v>
      </c>
      <c r="H26" s="90">
        <f>+H20-H25</f>
        <v>1579623.6364088797</v>
      </c>
      <c r="I26" s="42"/>
    </row>
    <row r="27" spans="1:10" x14ac:dyDescent="0.25">
      <c r="A27" s="11" t="s">
        <v>174</v>
      </c>
      <c r="B27" s="11"/>
      <c r="C27" s="11"/>
      <c r="D27" s="11"/>
      <c r="E27" s="11"/>
      <c r="F27" s="82"/>
      <c r="G27" s="82">
        <v>8.9499999999999996E-2</v>
      </c>
      <c r="H27" s="82">
        <v>8.9499999999999996E-2</v>
      </c>
      <c r="I27" s="42"/>
      <c r="J27" t="s">
        <v>175</v>
      </c>
    </row>
    <row r="28" spans="1:10" ht="15.75" thickBot="1" x14ac:dyDescent="0.3">
      <c r="A28" s="1" t="s">
        <v>178</v>
      </c>
      <c r="B28" s="1"/>
      <c r="C28" s="1"/>
      <c r="D28" s="1"/>
      <c r="E28" s="1"/>
      <c r="F28" s="84"/>
      <c r="G28" s="40">
        <f>+G26*G27</f>
        <v>141100.67587555884</v>
      </c>
      <c r="H28" s="40">
        <f>+H26*H27</f>
        <v>141376.31545859473</v>
      </c>
      <c r="I28" s="42"/>
    </row>
    <row r="29" spans="1:10" ht="15.75" thickTop="1" x14ac:dyDescent="0.25"/>
    <row r="30" spans="1:10" x14ac:dyDescent="0.25">
      <c r="A30" s="15" t="s">
        <v>199</v>
      </c>
      <c r="B30" s="15"/>
      <c r="C30" s="15"/>
      <c r="D30" s="15"/>
      <c r="E30" s="15"/>
    </row>
    <row r="31" spans="1:10" x14ac:dyDescent="0.25">
      <c r="A31" s="94" t="s">
        <v>196</v>
      </c>
      <c r="B31" s="94"/>
      <c r="C31" s="94"/>
      <c r="D31" s="94"/>
      <c r="E31" s="94"/>
    </row>
    <row r="32" spans="1:10" x14ac:dyDescent="0.25">
      <c r="A32" s="94" t="s">
        <v>197</v>
      </c>
      <c r="B32" s="94"/>
      <c r="C32" s="94"/>
      <c r="D32" s="94"/>
      <c r="E32" s="94"/>
    </row>
    <row r="33" spans="1:8" x14ac:dyDescent="0.25">
      <c r="A33" s="95" t="s">
        <v>198</v>
      </c>
      <c r="B33" s="95"/>
      <c r="C33" s="95"/>
      <c r="D33" s="95"/>
      <c r="E33" s="95"/>
    </row>
    <row r="34" spans="1:8" x14ac:dyDescent="0.25">
      <c r="A34" s="95" t="s">
        <v>207</v>
      </c>
      <c r="B34" s="95"/>
      <c r="C34" s="95"/>
      <c r="D34" s="95"/>
      <c r="E34" s="95"/>
    </row>
    <row r="36" spans="1:8" x14ac:dyDescent="0.25">
      <c r="A36" s="105"/>
      <c r="B36" s="124"/>
      <c r="C36" s="124"/>
      <c r="D36" s="105"/>
      <c r="E36" s="124"/>
      <c r="F36" s="125" t="s">
        <v>234</v>
      </c>
      <c r="G36" s="126">
        <v>48000</v>
      </c>
      <c r="H36" s="109">
        <v>-10000</v>
      </c>
    </row>
    <row r="37" spans="1:8" x14ac:dyDescent="0.25">
      <c r="D37" s="104" t="s">
        <v>235</v>
      </c>
      <c r="G37" s="20">
        <f>+'Exp-Program'!H42</f>
        <v>50000</v>
      </c>
      <c r="H37" s="20">
        <f>+'Exp-Program'!I42</f>
        <v>50000</v>
      </c>
    </row>
    <row r="38" spans="1:8" x14ac:dyDescent="0.25">
      <c r="G38" s="20"/>
      <c r="H38" s="20"/>
    </row>
  </sheetData>
  <pageMargins left="0.7" right="0.7" top="1" bottom="0.75" header="0.3" footer="0.3"/>
  <pageSetup scale="73" orientation="landscape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17E8-6549-49C8-84A3-22766AE5CC06}">
  <sheetPr>
    <pageSetUpPr fitToPage="1"/>
  </sheetPr>
  <dimension ref="A1:B13"/>
  <sheetViews>
    <sheetView workbookViewId="0">
      <selection activeCell="M15" sqref="M15"/>
    </sheetView>
  </sheetViews>
  <sheetFormatPr defaultRowHeight="15" x14ac:dyDescent="0.25"/>
  <cols>
    <col min="1" max="1" width="22.5703125" customWidth="1"/>
    <col min="2" max="2" width="14.42578125" customWidth="1"/>
  </cols>
  <sheetData>
    <row r="1" spans="1:2" x14ac:dyDescent="0.25">
      <c r="A1" s="128" t="s">
        <v>242</v>
      </c>
      <c r="B1" s="129" t="s">
        <v>243</v>
      </c>
    </row>
    <row r="2" spans="1:2" x14ac:dyDescent="0.25">
      <c r="A2" s="130" t="s">
        <v>249</v>
      </c>
      <c r="B2" s="131">
        <v>0</v>
      </c>
    </row>
    <row r="3" spans="1:2" x14ac:dyDescent="0.25">
      <c r="A3" s="132" t="s">
        <v>251</v>
      </c>
      <c r="B3" s="133">
        <v>1</v>
      </c>
    </row>
    <row r="4" spans="1:2" x14ac:dyDescent="0.25">
      <c r="A4" s="130" t="s">
        <v>252</v>
      </c>
      <c r="B4" s="131">
        <v>2</v>
      </c>
    </row>
    <row r="5" spans="1:2" x14ac:dyDescent="0.25">
      <c r="A5" s="132" t="s">
        <v>253</v>
      </c>
      <c r="B5" s="133">
        <v>3</v>
      </c>
    </row>
    <row r="6" spans="1:2" x14ac:dyDescent="0.25">
      <c r="A6" s="130" t="s">
        <v>254</v>
      </c>
      <c r="B6" s="131">
        <v>4</v>
      </c>
    </row>
    <row r="7" spans="1:2" x14ac:dyDescent="0.25">
      <c r="A7" s="132" t="s">
        <v>255</v>
      </c>
      <c r="B7" s="133">
        <v>5</v>
      </c>
    </row>
    <row r="8" spans="1:2" x14ac:dyDescent="0.25">
      <c r="A8" s="130" t="s">
        <v>250</v>
      </c>
      <c r="B8" s="131">
        <v>6</v>
      </c>
    </row>
    <row r="9" spans="1:2" x14ac:dyDescent="0.25">
      <c r="A9" s="132" t="s">
        <v>244</v>
      </c>
      <c r="B9" s="133">
        <v>7</v>
      </c>
    </row>
    <row r="10" spans="1:2" x14ac:dyDescent="0.25">
      <c r="A10" s="130" t="s">
        <v>245</v>
      </c>
      <c r="B10" s="131">
        <v>8</v>
      </c>
    </row>
    <row r="11" spans="1:2" x14ac:dyDescent="0.25">
      <c r="A11" s="132" t="s">
        <v>246</v>
      </c>
      <c r="B11" s="133">
        <v>9</v>
      </c>
    </row>
    <row r="12" spans="1:2" x14ac:dyDescent="0.25">
      <c r="A12" s="130" t="s">
        <v>247</v>
      </c>
      <c r="B12" s="131">
        <v>10</v>
      </c>
    </row>
    <row r="13" spans="1:2" x14ac:dyDescent="0.25">
      <c r="A13" s="132" t="s">
        <v>248</v>
      </c>
      <c r="B13" s="133">
        <v>11</v>
      </c>
    </row>
  </sheetData>
  <phoneticPr fontId="6" type="noConversion"/>
  <pageMargins left="0.7" right="0.7" top="1" bottom="0.75" header="0.3" footer="0.3"/>
  <pageSetup orientation="landscape" verticalDpi="0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71AF8-96C0-4592-85D3-3011FA550846}">
  <sheetPr>
    <pageSetUpPr fitToPage="1"/>
  </sheetPr>
  <dimension ref="A1:O17"/>
  <sheetViews>
    <sheetView zoomScaleNormal="100" workbookViewId="0">
      <selection activeCell="M15" sqref="M15"/>
    </sheetView>
  </sheetViews>
  <sheetFormatPr defaultRowHeight="15" x14ac:dyDescent="0.25"/>
  <cols>
    <col min="1" max="1" width="47.7109375" bestFit="1" customWidth="1"/>
    <col min="2" max="2" width="13.140625" customWidth="1"/>
    <col min="3" max="3" width="7.85546875" customWidth="1"/>
    <col min="4" max="4" width="11.140625" bestFit="1" customWidth="1"/>
    <col min="5" max="5" width="8" customWidth="1"/>
    <col min="6" max="6" width="11.140625" bestFit="1" customWidth="1"/>
    <col min="7" max="7" width="8.28515625" customWidth="1"/>
    <col min="8" max="8" width="12.28515625" customWidth="1"/>
    <col min="9" max="9" width="11.7109375" customWidth="1"/>
    <col min="10" max="10" width="11.140625" customWidth="1"/>
    <col min="11" max="11" width="2.28515625" customWidth="1"/>
    <col min="12" max="13" width="12.7109375" customWidth="1"/>
    <col min="14" max="14" width="12.140625" customWidth="1"/>
    <col min="15" max="15" width="46.7109375" customWidth="1"/>
  </cols>
  <sheetData>
    <row r="1" spans="1:15" x14ac:dyDescent="0.25">
      <c r="A1" s="110" t="s">
        <v>236</v>
      </c>
    </row>
    <row r="2" spans="1:15" x14ac:dyDescent="0.25">
      <c r="L2" s="42"/>
      <c r="M2" s="42"/>
      <c r="N2" s="42"/>
    </row>
    <row r="3" spans="1:15" ht="45" x14ac:dyDescent="0.25">
      <c r="A3" s="3"/>
      <c r="B3" s="16" t="s">
        <v>38</v>
      </c>
      <c r="C3" s="16" t="s">
        <v>37</v>
      </c>
      <c r="D3" s="16" t="s">
        <v>34</v>
      </c>
      <c r="E3" s="16" t="s">
        <v>37</v>
      </c>
      <c r="F3" s="16" t="s">
        <v>35</v>
      </c>
      <c r="G3" s="16" t="s">
        <v>37</v>
      </c>
      <c r="H3" s="16" t="s">
        <v>133</v>
      </c>
      <c r="I3" s="16" t="s">
        <v>87</v>
      </c>
      <c r="J3" s="16" t="s">
        <v>76</v>
      </c>
      <c r="K3" s="4"/>
      <c r="L3" s="43" t="s">
        <v>40</v>
      </c>
      <c r="M3" s="43" t="s">
        <v>50</v>
      </c>
      <c r="N3" s="43" t="s">
        <v>51</v>
      </c>
      <c r="O3" s="93" t="s">
        <v>101</v>
      </c>
    </row>
    <row r="4" spans="1:15" x14ac:dyDescent="0.25">
      <c r="A4" s="1" t="s">
        <v>128</v>
      </c>
      <c r="B4" s="1"/>
      <c r="C4" s="1"/>
      <c r="L4" s="42"/>
      <c r="M4" s="42"/>
      <c r="N4" s="42"/>
    </row>
    <row r="5" spans="1:15" ht="30" x14ac:dyDescent="0.25">
      <c r="A5" s="63" t="s">
        <v>82</v>
      </c>
      <c r="B5" s="106">
        <v>1207912.5</v>
      </c>
      <c r="C5" s="19">
        <f>+(D5-B5)/B5</f>
        <v>2.3728763465896759E-2</v>
      </c>
      <c r="D5" s="107">
        <v>1236574.77</v>
      </c>
      <c r="E5" s="19">
        <f>+(F5-D5)/D5</f>
        <v>3.5000091421887883E-2</v>
      </c>
      <c r="F5" s="107">
        <v>1279855</v>
      </c>
      <c r="G5" s="19">
        <f>+(I5-F5)/F5</f>
        <v>1.9998359189126895E-2</v>
      </c>
      <c r="H5" s="108">
        <f>1305450/12*7</f>
        <v>761512.5</v>
      </c>
      <c r="I5" s="21">
        <f>+H5/Months_elapsed*12</f>
        <v>1305450</v>
      </c>
      <c r="J5" s="18">
        <f>AVERAGE(C5,E5,G5)</f>
        <v>2.6242404692303847E-2</v>
      </c>
      <c r="K5" s="5"/>
      <c r="L5" s="26">
        <f>+I5*(1+$J$5)</f>
        <v>1339708.1472055679</v>
      </c>
      <c r="M5" s="26">
        <f>+L5*(1+$J$5)</f>
        <v>1374865.3105741129</v>
      </c>
      <c r="N5" s="26">
        <f>+M5*(1+$J$5)</f>
        <v>1410945.0824516087</v>
      </c>
      <c r="O5" t="s">
        <v>81</v>
      </c>
    </row>
    <row r="6" spans="1:15" ht="30" x14ac:dyDescent="0.25">
      <c r="A6" s="10" t="s">
        <v>125</v>
      </c>
      <c r="B6" s="22">
        <v>46000</v>
      </c>
      <c r="C6" s="19"/>
      <c r="D6" s="107">
        <v>46200</v>
      </c>
      <c r="E6" s="19"/>
      <c r="F6" s="109">
        <v>39050</v>
      </c>
      <c r="G6" s="19"/>
      <c r="H6" s="107">
        <v>34870</v>
      </c>
      <c r="I6" s="107">
        <f>+H6+5500</f>
        <v>40370</v>
      </c>
      <c r="J6" s="47">
        <f>AVERAGE(D6,F6,I6)</f>
        <v>41873.333333333336</v>
      </c>
      <c r="K6" s="5"/>
      <c r="L6" s="26">
        <f>+ROUND($J$6,-2)</f>
        <v>41900</v>
      </c>
      <c r="M6" s="26">
        <f t="shared" ref="M6:N6" si="0">+ROUND($J$6,-2)</f>
        <v>41900</v>
      </c>
      <c r="N6" s="26">
        <f t="shared" si="0"/>
        <v>41900</v>
      </c>
      <c r="O6" s="10" t="s">
        <v>259</v>
      </c>
    </row>
    <row r="7" spans="1:15" ht="15.75" thickBot="1" x14ac:dyDescent="0.3">
      <c r="A7" s="65" t="s">
        <v>126</v>
      </c>
      <c r="B7" s="73">
        <f>SUM(B5:B6)</f>
        <v>1253912.5</v>
      </c>
      <c r="C7" s="74"/>
      <c r="D7" s="73">
        <f>SUM(D5:D6)</f>
        <v>1282774.77</v>
      </c>
      <c r="E7" s="75"/>
      <c r="F7" s="73">
        <f>SUM(F5:F6)</f>
        <v>1318905</v>
      </c>
      <c r="G7" s="76"/>
      <c r="H7" s="73">
        <f>SUM(H5:H6)</f>
        <v>796382.5</v>
      </c>
      <c r="I7" s="73">
        <f>SUM(I5:I6)</f>
        <v>1345820</v>
      </c>
      <c r="J7" s="47"/>
      <c r="K7" s="5"/>
      <c r="L7" s="64">
        <f>SUM(L5:L6)</f>
        <v>1381608.1472055679</v>
      </c>
      <c r="M7" s="64">
        <f t="shared" ref="M7:N7" si="1">SUM(M5:M6)</f>
        <v>1416765.3105741129</v>
      </c>
      <c r="N7" s="64">
        <f t="shared" si="1"/>
        <v>1452845.0824516087</v>
      </c>
    </row>
    <row r="8" spans="1:15" ht="15.75" thickTop="1" x14ac:dyDescent="0.25">
      <c r="A8" s="10"/>
      <c r="B8" s="22"/>
      <c r="C8" s="19"/>
      <c r="D8" s="21"/>
      <c r="F8" s="20"/>
      <c r="G8" s="17"/>
      <c r="H8" s="21"/>
      <c r="I8" s="47"/>
      <c r="J8" s="5"/>
      <c r="K8" s="26"/>
      <c r="L8" s="26"/>
      <c r="M8" s="26"/>
    </row>
    <row r="9" spans="1:15" x14ac:dyDescent="0.25">
      <c r="A9" s="10"/>
      <c r="B9" s="22"/>
      <c r="C9" s="19"/>
      <c r="D9" s="21"/>
      <c r="F9" s="20"/>
      <c r="G9" s="17"/>
      <c r="H9" s="21"/>
      <c r="I9" s="47"/>
      <c r="J9" s="5"/>
      <c r="K9" s="26"/>
      <c r="L9" s="26"/>
      <c r="M9" s="26"/>
    </row>
    <row r="10" spans="1:15" x14ac:dyDescent="0.25">
      <c r="A10" s="15" t="s">
        <v>27</v>
      </c>
      <c r="B10" s="15"/>
      <c r="C10" s="15"/>
    </row>
    <row r="11" spans="1:15" x14ac:dyDescent="0.25">
      <c r="A11" t="s">
        <v>31</v>
      </c>
    </row>
    <row r="12" spans="1:15" x14ac:dyDescent="0.25">
      <c r="A12" t="s">
        <v>28</v>
      </c>
    </row>
    <row r="13" spans="1:15" x14ac:dyDescent="0.25">
      <c r="A13" t="s">
        <v>29</v>
      </c>
    </row>
    <row r="14" spans="1:15" x14ac:dyDescent="0.25">
      <c r="A14" t="s">
        <v>32</v>
      </c>
    </row>
    <row r="15" spans="1:15" x14ac:dyDescent="0.25">
      <c r="A15" t="s">
        <v>30</v>
      </c>
    </row>
    <row r="16" spans="1:15" x14ac:dyDescent="0.25">
      <c r="A16" s="10"/>
      <c r="B16" s="22"/>
      <c r="C16" s="19"/>
      <c r="D16" s="21"/>
      <c r="F16" s="20"/>
      <c r="G16" s="17"/>
      <c r="H16" s="21"/>
      <c r="I16" s="47"/>
      <c r="J16" s="5"/>
      <c r="K16" s="26"/>
      <c r="L16" s="26"/>
      <c r="M16" s="26"/>
    </row>
    <row r="17" spans="1:13" x14ac:dyDescent="0.25">
      <c r="A17" s="10"/>
      <c r="B17" s="22"/>
      <c r="C17" s="19"/>
      <c r="D17" s="21"/>
      <c r="F17" s="20"/>
      <c r="G17" s="17"/>
      <c r="H17" s="21"/>
      <c r="I17" s="47"/>
      <c r="J17" s="5"/>
      <c r="K17" s="26"/>
      <c r="L17" s="26"/>
      <c r="M17" s="26"/>
    </row>
  </sheetData>
  <pageMargins left="0.7" right="0.7" top="1" bottom="0.75" header="0.3" footer="0.3"/>
  <pageSetup scale="53" orientation="landscape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331D-B65C-4DB1-9BAE-C686CFDE5948}">
  <sheetPr>
    <pageSetUpPr fitToPage="1"/>
  </sheetPr>
  <dimension ref="A1:L20"/>
  <sheetViews>
    <sheetView zoomScaleNormal="100" workbookViewId="0">
      <selection activeCell="H5" sqref="H5"/>
    </sheetView>
  </sheetViews>
  <sheetFormatPr defaultRowHeight="15" x14ac:dyDescent="0.25"/>
  <cols>
    <col min="1" max="1" width="32.7109375" customWidth="1"/>
    <col min="2" max="6" width="12.85546875" customWidth="1"/>
    <col min="7" max="7" width="2.7109375" customWidth="1"/>
    <col min="8" max="10" width="12.85546875" customWidth="1"/>
    <col min="11" max="11" width="1.7109375" customWidth="1"/>
    <col min="12" max="12" width="35.28515625" customWidth="1"/>
  </cols>
  <sheetData>
    <row r="1" spans="1:12" x14ac:dyDescent="0.25">
      <c r="A1" s="110" t="s">
        <v>236</v>
      </c>
    </row>
    <row r="2" spans="1:12" x14ac:dyDescent="0.25">
      <c r="B2" s="50"/>
      <c r="C2" s="50"/>
      <c r="D2" s="50"/>
      <c r="E2" s="50"/>
      <c r="H2" s="134" t="s">
        <v>73</v>
      </c>
      <c r="I2" s="134"/>
      <c r="J2" s="134"/>
    </row>
    <row r="3" spans="1:12" ht="30" x14ac:dyDescent="0.25">
      <c r="B3" s="16" t="s">
        <v>34</v>
      </c>
      <c r="C3" s="16" t="s">
        <v>35</v>
      </c>
      <c r="D3" s="16" t="s">
        <v>83</v>
      </c>
      <c r="E3" s="16" t="s">
        <v>87</v>
      </c>
      <c r="F3" s="16" t="s">
        <v>76</v>
      </c>
      <c r="G3" s="4"/>
      <c r="H3" s="43" t="s">
        <v>60</v>
      </c>
      <c r="I3" s="43" t="s">
        <v>61</v>
      </c>
      <c r="J3" s="43" t="s">
        <v>62</v>
      </c>
      <c r="L3" s="93" t="s">
        <v>101</v>
      </c>
    </row>
    <row r="5" spans="1:12" x14ac:dyDescent="0.25">
      <c r="A5" s="1" t="s">
        <v>149</v>
      </c>
      <c r="B5" s="106">
        <v>1750</v>
      </c>
      <c r="C5" s="107">
        <v>2210</v>
      </c>
      <c r="D5" s="107">
        <v>1248</v>
      </c>
      <c r="E5" s="20">
        <f>+D5/Months_elapsed*12</f>
        <v>2139.4285714285716</v>
      </c>
      <c r="F5" s="20">
        <f>AVERAGE(B5,C5,E5)</f>
        <v>2033.1428571428571</v>
      </c>
      <c r="H5" s="26">
        <f>+ROUND($F5,-2)</f>
        <v>2000</v>
      </c>
      <c r="I5" s="26">
        <f t="shared" ref="I5:J5" si="0">+ROUND($F5,-2)</f>
        <v>2000</v>
      </c>
      <c r="J5" s="26">
        <f t="shared" si="0"/>
        <v>2000</v>
      </c>
      <c r="L5" t="s">
        <v>139</v>
      </c>
    </row>
    <row r="7" spans="1:12" x14ac:dyDescent="0.25">
      <c r="A7" s="1" t="s">
        <v>146</v>
      </c>
    </row>
    <row r="8" spans="1:12" x14ac:dyDescent="0.25">
      <c r="A8" s="53" t="s">
        <v>134</v>
      </c>
      <c r="H8" s="26">
        <v>10000</v>
      </c>
      <c r="I8" s="42"/>
      <c r="J8" s="42"/>
      <c r="L8" t="s">
        <v>135</v>
      </c>
    </row>
    <row r="9" spans="1:12" x14ac:dyDescent="0.25">
      <c r="A9" s="53" t="s">
        <v>136</v>
      </c>
      <c r="B9" s="109">
        <v>18100</v>
      </c>
      <c r="C9" s="109">
        <v>13650</v>
      </c>
      <c r="D9" s="109">
        <f>14750/12*7</f>
        <v>8604.1666666666679</v>
      </c>
      <c r="E9" s="20">
        <f>+D9/Months_elapsed*12</f>
        <v>14750</v>
      </c>
      <c r="F9" s="20">
        <f>AVERAGE(B9,C9,E9)</f>
        <v>15500</v>
      </c>
      <c r="H9" s="54">
        <f>+$F$9</f>
        <v>15500</v>
      </c>
      <c r="I9" s="54">
        <f>+$F$9</f>
        <v>15500</v>
      </c>
      <c r="J9" s="54">
        <f>+$F$9</f>
        <v>15500</v>
      </c>
      <c r="L9" t="s">
        <v>137</v>
      </c>
    </row>
    <row r="10" spans="1:12" x14ac:dyDescent="0.25">
      <c r="A10" s="53" t="s">
        <v>138</v>
      </c>
      <c r="B10" s="109">
        <v>3500</v>
      </c>
      <c r="C10" s="109">
        <v>2850</v>
      </c>
      <c r="D10" s="109">
        <f>2565/12*7</f>
        <v>1496.25</v>
      </c>
      <c r="E10" s="20">
        <f>+D10/Months_elapsed*12</f>
        <v>2565</v>
      </c>
      <c r="F10" s="20">
        <f>AVERAGE(B10,C10,E10)</f>
        <v>2971.6666666666665</v>
      </c>
      <c r="H10" s="26">
        <f>+ROUND($F10,-2)</f>
        <v>3000</v>
      </c>
      <c r="I10" s="26">
        <f>+ROUND($F10,-2)</f>
        <v>3000</v>
      </c>
      <c r="J10" s="26">
        <f>+ROUND($F10,-2)</f>
        <v>3000</v>
      </c>
      <c r="L10" t="s">
        <v>139</v>
      </c>
    </row>
    <row r="11" spans="1:12" ht="15.75" thickBot="1" x14ac:dyDescent="0.3">
      <c r="A11" s="60" t="s">
        <v>140</v>
      </c>
      <c r="B11" s="56">
        <f>SUM(B8:B10)</f>
        <v>21600</v>
      </c>
      <c r="C11" s="56">
        <f>SUM(C8:C10)</f>
        <v>16500</v>
      </c>
      <c r="D11" s="56">
        <f>SUM(D8:D10)</f>
        <v>10100.416666666668</v>
      </c>
      <c r="E11" s="56">
        <f>SUM(E8:E10)</f>
        <v>17315</v>
      </c>
      <c r="H11" s="57">
        <f>SUM(H8:H10)</f>
        <v>28500</v>
      </c>
      <c r="I11" s="57">
        <f>SUM(I8:I10)</f>
        <v>18500</v>
      </c>
      <c r="J11" s="57">
        <f>SUM(J8:J10)</f>
        <v>18500</v>
      </c>
    </row>
    <row r="12" spans="1:12" ht="15.75" thickTop="1" x14ac:dyDescent="0.25"/>
    <row r="13" spans="1:12" x14ac:dyDescent="0.25">
      <c r="A13" s="60" t="s">
        <v>145</v>
      </c>
    </row>
    <row r="14" spans="1:12" x14ac:dyDescent="0.25">
      <c r="A14" s="53" t="s">
        <v>212</v>
      </c>
      <c r="H14" s="26">
        <f>+'lease rev &amp; exp'!H8</f>
        <v>364800</v>
      </c>
      <c r="I14" s="26">
        <f>+'lease rev &amp; exp'!I8</f>
        <v>364800</v>
      </c>
      <c r="J14" s="26">
        <f>+'lease rev &amp; exp'!J8</f>
        <v>364800</v>
      </c>
      <c r="L14" t="s">
        <v>211</v>
      </c>
    </row>
    <row r="15" spans="1:12" x14ac:dyDescent="0.25">
      <c r="A15" s="53" t="s">
        <v>213</v>
      </c>
      <c r="B15" s="109">
        <v>30700</v>
      </c>
      <c r="C15" s="109">
        <v>27200</v>
      </c>
      <c r="D15" s="109">
        <v>17235</v>
      </c>
      <c r="E15" s="20">
        <f>+D15/Months_elapsed*12</f>
        <v>29545.71428571429</v>
      </c>
      <c r="F15" s="20">
        <f>AVERAGE(B15,C15,E15)</f>
        <v>29148.571428571431</v>
      </c>
      <c r="G15" s="20"/>
      <c r="H15" s="26">
        <f>+ROUND($F15,-2)</f>
        <v>29100</v>
      </c>
      <c r="I15" s="26">
        <f>+ROUND($F15,-2)</f>
        <v>29100</v>
      </c>
      <c r="J15" s="26">
        <f>+ROUND($F15,-2)</f>
        <v>29100</v>
      </c>
      <c r="L15" t="s">
        <v>139</v>
      </c>
    </row>
    <row r="16" spans="1:12" ht="15.75" thickBot="1" x14ac:dyDescent="0.3">
      <c r="A16" s="1" t="s">
        <v>147</v>
      </c>
      <c r="B16" s="56">
        <f>SUM(B15:B15)</f>
        <v>30700</v>
      </c>
      <c r="C16" s="56">
        <f>SUM(C15:C15)</f>
        <v>27200</v>
      </c>
      <c r="D16" s="56">
        <f>SUM(D15:D15)</f>
        <v>17235</v>
      </c>
      <c r="E16" s="56">
        <f>SUM(E15:E15)</f>
        <v>29545.71428571429</v>
      </c>
      <c r="H16" s="57">
        <f>SUM(H15:H15)</f>
        <v>29100</v>
      </c>
      <c r="I16" s="57">
        <f>SUM(I15:I15)</f>
        <v>29100</v>
      </c>
      <c r="J16" s="57">
        <f>SUM(J15:J15)</f>
        <v>29100</v>
      </c>
    </row>
    <row r="17" spans="1:12" ht="15.75" thickTop="1" x14ac:dyDescent="0.25"/>
    <row r="18" spans="1:12" x14ac:dyDescent="0.25">
      <c r="A18" s="1" t="s">
        <v>158</v>
      </c>
      <c r="B18" s="20">
        <v>140660</v>
      </c>
      <c r="C18" s="20">
        <v>137580</v>
      </c>
      <c r="D18" s="20">
        <f>103100/12*7</f>
        <v>60141.666666666664</v>
      </c>
      <c r="E18" s="20">
        <f>+D18/Months_elapsed*12</f>
        <v>103100</v>
      </c>
      <c r="F18" s="20">
        <f>AVERAGE(B18,C18,E18)</f>
        <v>127113.33333333333</v>
      </c>
      <c r="H18" s="26">
        <v>127000</v>
      </c>
      <c r="I18" s="26">
        <v>127000</v>
      </c>
      <c r="J18" s="26">
        <v>127000</v>
      </c>
      <c r="L18" t="s">
        <v>139</v>
      </c>
    </row>
    <row r="20" spans="1:12" x14ac:dyDescent="0.25">
      <c r="A20" s="1" t="s">
        <v>161</v>
      </c>
      <c r="B20" s="20">
        <v>9850</v>
      </c>
      <c r="C20" s="20">
        <v>8500</v>
      </c>
      <c r="D20" s="20">
        <f>7800/12*7</f>
        <v>4550</v>
      </c>
      <c r="E20" s="20">
        <f>+D20/Months_elapsed*12</f>
        <v>7800</v>
      </c>
      <c r="F20" s="20">
        <f>AVERAGE(B20,C20,E20)</f>
        <v>8716.6666666666661</v>
      </c>
      <c r="H20" s="26">
        <v>8700</v>
      </c>
      <c r="I20" s="26">
        <v>8700</v>
      </c>
      <c r="J20" s="26">
        <v>8700</v>
      </c>
      <c r="L20" t="s">
        <v>139</v>
      </c>
    </row>
  </sheetData>
  <mergeCells count="1">
    <mergeCell ref="H2:J2"/>
  </mergeCells>
  <pageMargins left="0.7" right="0.7" top="1" bottom="0.75" header="0.3" footer="0.3"/>
  <pageSetup scale="69" orientation="landscape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8"/>
  <sheetViews>
    <sheetView workbookViewId="0">
      <selection activeCell="M15" sqref="M15"/>
    </sheetView>
  </sheetViews>
  <sheetFormatPr defaultRowHeight="15" x14ac:dyDescent="0.25"/>
  <cols>
    <col min="1" max="1" width="25.28515625" customWidth="1"/>
    <col min="2" max="2" width="13.7109375" customWidth="1"/>
    <col min="3" max="3" width="9.42578125" style="3" customWidth="1"/>
    <col min="4" max="4" width="11.85546875" customWidth="1"/>
    <col min="5" max="5" width="2.28515625" customWidth="1"/>
    <col min="6" max="8" width="11.85546875" customWidth="1"/>
    <col min="9" max="9" width="10.28515625" customWidth="1"/>
    <col min="10" max="12" width="11.28515625" customWidth="1"/>
    <col min="13" max="13" width="2.28515625" customWidth="1"/>
    <col min="14" max="16" width="10.5703125" customWidth="1"/>
    <col min="17" max="17" width="1.85546875" customWidth="1"/>
    <col min="18" max="18" width="11.5703125" bestFit="1" customWidth="1"/>
    <col min="21" max="21" width="3" customWidth="1"/>
  </cols>
  <sheetData>
    <row r="1" spans="1:24" ht="24" customHeight="1" x14ac:dyDescent="0.25">
      <c r="A1" s="139" t="s">
        <v>236</v>
      </c>
      <c r="B1" s="139"/>
    </row>
    <row r="2" spans="1:24" s="32" customFormat="1" ht="34.9" customHeight="1" x14ac:dyDescent="0.25">
      <c r="B2" s="33"/>
      <c r="C2" s="33"/>
      <c r="D2" s="33"/>
      <c r="F2" s="136" t="s">
        <v>231</v>
      </c>
      <c r="G2" s="136"/>
      <c r="H2" s="136"/>
      <c r="I2" s="136"/>
      <c r="J2" s="137" t="s">
        <v>232</v>
      </c>
      <c r="K2" s="137"/>
      <c r="L2" s="137"/>
      <c r="N2" s="138" t="s">
        <v>52</v>
      </c>
      <c r="O2" s="138"/>
      <c r="P2" s="138"/>
      <c r="Q2" s="34"/>
      <c r="R2" s="135" t="s">
        <v>54</v>
      </c>
      <c r="S2" s="135"/>
      <c r="T2" s="135"/>
      <c r="V2" s="36" t="s">
        <v>55</v>
      </c>
      <c r="W2" s="35"/>
      <c r="X2" s="35"/>
    </row>
    <row r="3" spans="1:24" s="32" customFormat="1" ht="34.9" customHeight="1" x14ac:dyDescent="0.25">
      <c r="B3" s="33"/>
      <c r="C3" s="33"/>
      <c r="D3" s="33"/>
      <c r="F3" s="114">
        <f>0.062+0.0145</f>
        <v>7.6499999999999999E-2</v>
      </c>
      <c r="G3" s="115">
        <f>0.2857*0.0074</f>
        <v>2.1141800000000002E-3</v>
      </c>
      <c r="H3" s="99"/>
      <c r="I3" s="99"/>
      <c r="J3" s="34"/>
      <c r="K3" s="34"/>
      <c r="L3" s="102" t="s">
        <v>233</v>
      </c>
      <c r="N3" s="103">
        <v>0.02</v>
      </c>
      <c r="O3" s="103">
        <v>0.02</v>
      </c>
      <c r="P3" s="103">
        <v>0.02</v>
      </c>
      <c r="Q3" s="34"/>
      <c r="R3" s="100"/>
      <c r="S3" s="100"/>
      <c r="T3" s="100"/>
      <c r="V3" s="101"/>
    </row>
    <row r="4" spans="1:24" s="7" customFormat="1" ht="75" x14ac:dyDescent="0.25">
      <c r="A4" s="6" t="s">
        <v>11</v>
      </c>
      <c r="B4" s="68" t="s">
        <v>41</v>
      </c>
      <c r="C4" s="68" t="s">
        <v>45</v>
      </c>
      <c r="D4" s="68" t="s">
        <v>44</v>
      </c>
      <c r="E4" s="68"/>
      <c r="F4" s="68" t="s">
        <v>18</v>
      </c>
      <c r="G4" s="68" t="s">
        <v>48</v>
      </c>
      <c r="H4" s="68" t="s">
        <v>19</v>
      </c>
      <c r="I4" s="68" t="s">
        <v>53</v>
      </c>
      <c r="J4" s="68" t="s">
        <v>39</v>
      </c>
      <c r="K4" s="68" t="s">
        <v>56</v>
      </c>
      <c r="L4" s="68" t="s">
        <v>230</v>
      </c>
      <c r="M4" s="16"/>
      <c r="N4" s="69" t="s">
        <v>40</v>
      </c>
      <c r="O4" s="69" t="s">
        <v>50</v>
      </c>
      <c r="P4" s="69" t="s">
        <v>51</v>
      </c>
      <c r="Q4" s="69"/>
      <c r="R4" s="69" t="s">
        <v>40</v>
      </c>
      <c r="S4" s="69" t="s">
        <v>50</v>
      </c>
      <c r="T4" s="69" t="s">
        <v>51</v>
      </c>
      <c r="U4" s="16"/>
      <c r="V4" s="69" t="s">
        <v>40</v>
      </c>
      <c r="W4" s="69" t="s">
        <v>50</v>
      </c>
      <c r="X4" s="69" t="s">
        <v>51</v>
      </c>
    </row>
    <row r="5" spans="1:24" s="7" customFormat="1" x14ac:dyDescent="0.25">
      <c r="A5" s="9" t="s">
        <v>17</v>
      </c>
      <c r="B5" s="109">
        <v>14000</v>
      </c>
      <c r="C5" s="112">
        <v>14</v>
      </c>
      <c r="D5" s="20">
        <f>+B5/C5*26</f>
        <v>26000</v>
      </c>
      <c r="E5" s="5"/>
      <c r="F5" s="20">
        <f>+D5*$F$3</f>
        <v>1989</v>
      </c>
      <c r="G5" s="5">
        <f>+D5*$G$3</f>
        <v>54.968680000000006</v>
      </c>
      <c r="H5" s="20">
        <f>SUM(F5:G5)</f>
        <v>2043.9686799999999</v>
      </c>
      <c r="I5" s="97">
        <f t="shared" ref="I5:I10" si="0">+H5/D5</f>
        <v>7.8614179999999992E-2</v>
      </c>
      <c r="J5" s="113">
        <v>3640</v>
      </c>
      <c r="K5" s="24">
        <f t="shared" ref="K5:K10" si="1">+J5/B5</f>
        <v>0.26</v>
      </c>
      <c r="L5" s="23">
        <f t="shared" ref="L5:L13" si="2">+N5*K5</f>
        <v>6895.2</v>
      </c>
      <c r="N5" s="26">
        <f>+D5*(1+N$3)</f>
        <v>26520</v>
      </c>
      <c r="O5" s="26">
        <f>+N5*(1+O$3)</f>
        <v>27050.400000000001</v>
      </c>
      <c r="P5" s="26">
        <f>+O5*(1+P$3)</f>
        <v>27591.408000000003</v>
      </c>
      <c r="Q5" s="26"/>
      <c r="R5" s="30">
        <f t="shared" ref="R5:R10" si="3">+N5*$I5</f>
        <v>2084.8480535999997</v>
      </c>
      <c r="S5" s="30">
        <f t="shared" ref="S5:T13" si="4">+O5*$I5</f>
        <v>2126.545014672</v>
      </c>
      <c r="T5" s="30">
        <f t="shared" si="4"/>
        <v>2169.07591496544</v>
      </c>
      <c r="V5" s="30">
        <f>+N5*$K5</f>
        <v>6895.2</v>
      </c>
      <c r="W5" s="30">
        <f t="shared" ref="W5:X5" si="5">+O5*$K5</f>
        <v>7033.1040000000003</v>
      </c>
      <c r="X5" s="30">
        <f t="shared" si="5"/>
        <v>7173.7660800000012</v>
      </c>
    </row>
    <row r="6" spans="1:24" x14ac:dyDescent="0.25">
      <c r="A6" s="10" t="s">
        <v>12</v>
      </c>
      <c r="B6" s="109">
        <f>20*80*14</f>
        <v>22400</v>
      </c>
      <c r="C6" s="112">
        <v>14</v>
      </c>
      <c r="D6" s="20">
        <f t="shared" ref="D6:D10" si="6">+B6/C6*26</f>
        <v>41600</v>
      </c>
      <c r="E6" s="5"/>
      <c r="F6" s="20">
        <f>+D6*$F$3</f>
        <v>3182.4</v>
      </c>
      <c r="G6" s="5">
        <f t="shared" ref="G6:G10" si="7">+D6*$G$3</f>
        <v>87.949888000000016</v>
      </c>
      <c r="H6" s="20">
        <f t="shared" ref="H6:H13" si="8">SUM(F6:G6)</f>
        <v>3270.3498880000002</v>
      </c>
      <c r="I6" s="97">
        <f t="shared" si="0"/>
        <v>7.8614180000000006E-2</v>
      </c>
      <c r="J6" s="113">
        <v>4256</v>
      </c>
      <c r="K6" s="24">
        <f t="shared" si="1"/>
        <v>0.19</v>
      </c>
      <c r="L6" s="23">
        <f t="shared" si="2"/>
        <v>8062.08</v>
      </c>
      <c r="N6" s="26">
        <f>+D6*(1+N$3)</f>
        <v>42432</v>
      </c>
      <c r="O6" s="26">
        <f>+N6*(1+O$3)</f>
        <v>43280.639999999999</v>
      </c>
      <c r="P6" s="26">
        <f>+O6*(1+P$3)</f>
        <v>44146.252800000002</v>
      </c>
      <c r="Q6" s="26"/>
      <c r="R6" s="30">
        <f t="shared" si="3"/>
        <v>3335.7568857600004</v>
      </c>
      <c r="S6" s="30">
        <f t="shared" si="4"/>
        <v>3402.4720234752003</v>
      </c>
      <c r="T6" s="30">
        <f t="shared" si="4"/>
        <v>3470.5214639447045</v>
      </c>
      <c r="V6" s="30">
        <f t="shared" ref="V6:V13" si="9">+N6*$K6</f>
        <v>8062.08</v>
      </c>
      <c r="W6" s="30">
        <f t="shared" ref="W6:W13" si="10">+O6*$K6</f>
        <v>8223.3215999999993</v>
      </c>
      <c r="X6" s="30">
        <f t="shared" ref="X6:X13" si="11">+P6*$K6</f>
        <v>8387.7880320000004</v>
      </c>
    </row>
    <row r="7" spans="1:24" x14ac:dyDescent="0.25">
      <c r="A7" s="10" t="s">
        <v>13</v>
      </c>
      <c r="B7" s="109">
        <f>35*80*14</f>
        <v>39200</v>
      </c>
      <c r="C7" s="112">
        <v>14</v>
      </c>
      <c r="D7" s="20">
        <f t="shared" si="6"/>
        <v>72800</v>
      </c>
      <c r="E7" s="5"/>
      <c r="F7" s="20">
        <f t="shared" ref="F7:F10" si="12">+D7*$F$3</f>
        <v>5569.2</v>
      </c>
      <c r="G7" s="5">
        <f t="shared" si="7"/>
        <v>153.91230400000001</v>
      </c>
      <c r="H7" s="20">
        <f t="shared" si="8"/>
        <v>5723.1123040000002</v>
      </c>
      <c r="I7" s="97">
        <f t="shared" si="0"/>
        <v>7.8614180000000006E-2</v>
      </c>
      <c r="J7" s="113">
        <v>9800</v>
      </c>
      <c r="K7" s="24">
        <f t="shared" si="1"/>
        <v>0.25</v>
      </c>
      <c r="L7" s="23">
        <f t="shared" si="2"/>
        <v>18564</v>
      </c>
      <c r="N7" s="26">
        <f t="shared" ref="N7:N10" si="13">+D7*(1+N$3)</f>
        <v>74256</v>
      </c>
      <c r="O7" s="26">
        <f t="shared" ref="O7:P7" si="14">+N7*(1+O$3)</f>
        <v>75741.119999999995</v>
      </c>
      <c r="P7" s="26">
        <f t="shared" si="14"/>
        <v>77255.9424</v>
      </c>
      <c r="Q7" s="26"/>
      <c r="R7" s="30">
        <f t="shared" si="3"/>
        <v>5837.5745500800003</v>
      </c>
      <c r="S7" s="30">
        <f t="shared" si="4"/>
        <v>5954.3260410816001</v>
      </c>
      <c r="T7" s="30">
        <f t="shared" si="4"/>
        <v>6073.412561903232</v>
      </c>
      <c r="V7" s="30">
        <f t="shared" si="9"/>
        <v>18564</v>
      </c>
      <c r="W7" s="30">
        <f t="shared" si="10"/>
        <v>18935.28</v>
      </c>
      <c r="X7" s="30">
        <f t="shared" si="11"/>
        <v>19313.9856</v>
      </c>
    </row>
    <row r="8" spans="1:24" x14ac:dyDescent="0.25">
      <c r="A8" s="10" t="s">
        <v>14</v>
      </c>
      <c r="B8" s="109">
        <f>25*80*14</f>
        <v>28000</v>
      </c>
      <c r="C8" s="112">
        <v>14</v>
      </c>
      <c r="D8" s="20">
        <f t="shared" si="6"/>
        <v>52000</v>
      </c>
      <c r="E8" s="5"/>
      <c r="F8" s="20">
        <f t="shared" si="12"/>
        <v>3978</v>
      </c>
      <c r="G8" s="5">
        <f t="shared" si="7"/>
        <v>109.93736000000001</v>
      </c>
      <c r="H8" s="20">
        <f t="shared" si="8"/>
        <v>4087.9373599999999</v>
      </c>
      <c r="I8" s="97">
        <f t="shared" si="0"/>
        <v>7.8614179999999992E-2</v>
      </c>
      <c r="J8" s="113">
        <v>5600</v>
      </c>
      <c r="K8" s="24">
        <f t="shared" si="1"/>
        <v>0.2</v>
      </c>
      <c r="L8" s="23">
        <f t="shared" si="2"/>
        <v>10608</v>
      </c>
      <c r="N8" s="26">
        <f t="shared" si="13"/>
        <v>53040</v>
      </c>
      <c r="O8" s="26">
        <f t="shared" ref="O8:P8" si="15">+N8*(1+O$3)</f>
        <v>54100.800000000003</v>
      </c>
      <c r="P8" s="26">
        <f t="shared" si="15"/>
        <v>55182.816000000006</v>
      </c>
      <c r="Q8" s="26"/>
      <c r="R8" s="30">
        <f t="shared" si="3"/>
        <v>4169.6961071999995</v>
      </c>
      <c r="S8" s="30">
        <f t="shared" si="4"/>
        <v>4253.090029344</v>
      </c>
      <c r="T8" s="30">
        <f t="shared" si="4"/>
        <v>4338.15182993088</v>
      </c>
      <c r="V8" s="30">
        <f t="shared" si="9"/>
        <v>10608</v>
      </c>
      <c r="W8" s="30">
        <f t="shared" si="10"/>
        <v>10820.160000000002</v>
      </c>
      <c r="X8" s="30">
        <f t="shared" si="11"/>
        <v>11036.563200000002</v>
      </c>
    </row>
    <row r="9" spans="1:24" x14ac:dyDescent="0.25">
      <c r="A9" s="10" t="s">
        <v>15</v>
      </c>
      <c r="B9" s="109">
        <f>40*80*14</f>
        <v>44800</v>
      </c>
      <c r="C9" s="112">
        <v>14</v>
      </c>
      <c r="D9" s="20">
        <f t="shared" si="6"/>
        <v>83200</v>
      </c>
      <c r="E9" s="5"/>
      <c r="F9" s="20">
        <f t="shared" si="12"/>
        <v>6364.8</v>
      </c>
      <c r="G9" s="5">
        <f t="shared" si="7"/>
        <v>175.89977600000003</v>
      </c>
      <c r="H9" s="20">
        <f t="shared" si="8"/>
        <v>6540.6997760000004</v>
      </c>
      <c r="I9" s="97">
        <f t="shared" si="0"/>
        <v>7.8614180000000006E-2</v>
      </c>
      <c r="J9" s="113">
        <v>11648</v>
      </c>
      <c r="K9" s="24">
        <f t="shared" si="1"/>
        <v>0.26</v>
      </c>
      <c r="L9" s="23">
        <f t="shared" si="2"/>
        <v>22064.639999999999</v>
      </c>
      <c r="N9" s="26">
        <f t="shared" si="13"/>
        <v>84864</v>
      </c>
      <c r="O9" s="26">
        <f t="shared" ref="O9:P9" si="16">+N9*(1+O$3)</f>
        <v>86561.279999999999</v>
      </c>
      <c r="P9" s="26">
        <f t="shared" si="16"/>
        <v>88292.505600000004</v>
      </c>
      <c r="Q9" s="26"/>
      <c r="R9" s="30">
        <f t="shared" si="3"/>
        <v>6671.5137715200008</v>
      </c>
      <c r="S9" s="30">
        <f t="shared" si="4"/>
        <v>6804.9440469504007</v>
      </c>
      <c r="T9" s="30">
        <f t="shared" si="4"/>
        <v>6941.0429278894089</v>
      </c>
      <c r="V9" s="30">
        <f t="shared" si="9"/>
        <v>22064.639999999999</v>
      </c>
      <c r="W9" s="30">
        <f t="shared" si="10"/>
        <v>22505.932799999999</v>
      </c>
      <c r="X9" s="30">
        <f t="shared" si="11"/>
        <v>22956.051456000001</v>
      </c>
    </row>
    <row r="10" spans="1:24" x14ac:dyDescent="0.25">
      <c r="A10" s="10" t="s">
        <v>16</v>
      </c>
      <c r="B10" s="109">
        <f>30*80*14</f>
        <v>33600</v>
      </c>
      <c r="C10" s="112">
        <v>14</v>
      </c>
      <c r="D10" s="20">
        <f t="shared" si="6"/>
        <v>62400</v>
      </c>
      <c r="E10" s="5"/>
      <c r="F10" s="20">
        <f t="shared" si="12"/>
        <v>4773.6000000000004</v>
      </c>
      <c r="G10" s="5">
        <f t="shared" si="7"/>
        <v>131.92483200000001</v>
      </c>
      <c r="H10" s="20">
        <f t="shared" si="8"/>
        <v>4905.5248320000001</v>
      </c>
      <c r="I10" s="97">
        <f t="shared" si="0"/>
        <v>7.8614180000000006E-2</v>
      </c>
      <c r="J10" s="113">
        <v>8400</v>
      </c>
      <c r="K10" s="24">
        <f t="shared" si="1"/>
        <v>0.25</v>
      </c>
      <c r="L10" s="23">
        <f t="shared" si="2"/>
        <v>15912</v>
      </c>
      <c r="N10" s="26">
        <f t="shared" si="13"/>
        <v>63648</v>
      </c>
      <c r="O10" s="26">
        <f t="shared" ref="O10:P10" si="17">+N10*(1+O$3)</f>
        <v>64920.959999999999</v>
      </c>
      <c r="P10" s="26">
        <f t="shared" si="17"/>
        <v>66219.379199999996</v>
      </c>
      <c r="Q10" s="26"/>
      <c r="R10" s="30">
        <f t="shared" si="3"/>
        <v>5003.6353286400008</v>
      </c>
      <c r="S10" s="30">
        <f t="shared" si="4"/>
        <v>5103.7080352128005</v>
      </c>
      <c r="T10" s="30">
        <f t="shared" si="4"/>
        <v>5205.782195917056</v>
      </c>
      <c r="V10" s="30">
        <f t="shared" si="9"/>
        <v>15912</v>
      </c>
      <c r="W10" s="30">
        <f t="shared" si="10"/>
        <v>16230.24</v>
      </c>
      <c r="X10" s="30">
        <f t="shared" si="11"/>
        <v>16554.844799999999</v>
      </c>
    </row>
    <row r="11" spans="1:24" ht="15.75" thickBot="1" x14ac:dyDescent="0.3">
      <c r="A11" s="10"/>
      <c r="B11" s="38">
        <f>SUM(B5:B10)</f>
        <v>182000</v>
      </c>
      <c r="C11" s="8"/>
      <c r="D11" s="38">
        <f>SUM(D5:D10)</f>
        <v>338000</v>
      </c>
      <c r="E11" s="5"/>
      <c r="F11" s="38">
        <f>SUM(F5:F10)</f>
        <v>25857</v>
      </c>
      <c r="G11" s="98">
        <f>SUM(G5:G10)</f>
        <v>714.59284000000014</v>
      </c>
      <c r="H11" s="38">
        <f>SUM(H5:H10)</f>
        <v>26571.592840000001</v>
      </c>
      <c r="I11" s="97"/>
      <c r="J11" s="38">
        <f>SUM(J5:J10)</f>
        <v>43344</v>
      </c>
      <c r="K11" s="24"/>
      <c r="L11" s="38">
        <f>SUM(L5:L10)</f>
        <v>82105.919999999998</v>
      </c>
      <c r="N11" s="26"/>
      <c r="O11" s="26"/>
      <c r="P11" s="26"/>
      <c r="Q11" s="26"/>
      <c r="R11" s="30"/>
      <c r="S11" s="30"/>
      <c r="T11" s="30"/>
      <c r="V11" s="30"/>
      <c r="W11" s="30"/>
      <c r="X11" s="30"/>
    </row>
    <row r="12" spans="1:24" ht="30.75" thickTop="1" x14ac:dyDescent="0.25">
      <c r="A12" s="10" t="s">
        <v>46</v>
      </c>
      <c r="B12" s="20"/>
      <c r="C12" s="8"/>
      <c r="D12" s="20">
        <f>25*2080</f>
        <v>52000</v>
      </c>
      <c r="E12" s="5"/>
      <c r="F12" s="20">
        <f>+D12*7.65%</f>
        <v>3978</v>
      </c>
      <c r="G12" s="5">
        <f>0.2857*(D12*0.0074)</f>
        <v>109.93736000000001</v>
      </c>
      <c r="H12" s="20">
        <f t="shared" si="8"/>
        <v>4087.9373599999999</v>
      </c>
      <c r="I12" s="97">
        <f>+H12/D12</f>
        <v>7.8614179999999992E-2</v>
      </c>
      <c r="J12" s="23">
        <f>+B12/K12</f>
        <v>0</v>
      </c>
      <c r="K12" s="25">
        <v>0.25</v>
      </c>
      <c r="L12" s="20">
        <f t="shared" si="2"/>
        <v>13000</v>
      </c>
      <c r="N12" s="116">
        <f>25*2080</f>
        <v>52000</v>
      </c>
      <c r="O12" s="26">
        <f t="shared" ref="O12:P12" si="18">+N12*(1+O$3)</f>
        <v>53040</v>
      </c>
      <c r="P12" s="26">
        <f t="shared" si="18"/>
        <v>54100.800000000003</v>
      </c>
      <c r="Q12" s="26"/>
      <c r="R12" s="30">
        <f>+N12*$I12</f>
        <v>4087.9373599999994</v>
      </c>
      <c r="S12" s="30">
        <f t="shared" si="4"/>
        <v>4169.6961071999995</v>
      </c>
      <c r="T12" s="30">
        <f t="shared" si="4"/>
        <v>4253.090029344</v>
      </c>
      <c r="V12" s="30">
        <f t="shared" si="9"/>
        <v>13000</v>
      </c>
      <c r="W12" s="30">
        <f t="shared" si="10"/>
        <v>13260</v>
      </c>
      <c r="X12" s="30">
        <f t="shared" si="11"/>
        <v>13525.2</v>
      </c>
    </row>
    <row r="13" spans="1:24" ht="45" x14ac:dyDescent="0.25">
      <c r="A13" s="10" t="s">
        <v>47</v>
      </c>
      <c r="B13" s="20"/>
      <c r="C13" s="8"/>
      <c r="D13" s="20">
        <f>20*52*18</f>
        <v>18720</v>
      </c>
      <c r="E13" s="5"/>
      <c r="F13" s="20">
        <f>+D13*7.65%</f>
        <v>1432.08</v>
      </c>
      <c r="G13" s="5">
        <f>0.2857*(D13*0.0074)</f>
        <v>39.577449600000008</v>
      </c>
      <c r="H13" s="20">
        <f t="shared" si="8"/>
        <v>1471.6574495999998</v>
      </c>
      <c r="I13" s="97">
        <f>+H13/D13</f>
        <v>7.8614179999999992E-2</v>
      </c>
      <c r="J13" s="23">
        <f>+B13/K13</f>
        <v>0</v>
      </c>
      <c r="K13" s="25">
        <v>0.25</v>
      </c>
      <c r="L13" s="20">
        <f t="shared" si="2"/>
        <v>4680</v>
      </c>
      <c r="N13" s="116">
        <f>18*20*52</f>
        <v>18720</v>
      </c>
      <c r="O13" s="26">
        <f t="shared" ref="O13:P13" si="19">+N13*(1+O$3)</f>
        <v>19094.400000000001</v>
      </c>
      <c r="P13" s="26">
        <f t="shared" si="19"/>
        <v>19476.288</v>
      </c>
      <c r="Q13" s="26"/>
      <c r="R13" s="30">
        <f>+N13*$I13</f>
        <v>1471.6574495999998</v>
      </c>
      <c r="S13" s="30">
        <f t="shared" si="4"/>
        <v>1501.0905985919999</v>
      </c>
      <c r="T13" s="30">
        <f t="shared" si="4"/>
        <v>1531.1124105638398</v>
      </c>
      <c r="V13" s="30">
        <f t="shared" si="9"/>
        <v>4680</v>
      </c>
      <c r="W13" s="30">
        <f t="shared" si="10"/>
        <v>4773.6000000000004</v>
      </c>
      <c r="X13" s="30">
        <f t="shared" si="11"/>
        <v>4869.0720000000001</v>
      </c>
    </row>
    <row r="14" spans="1:24" s="1" customFormat="1" ht="15.75" thickBot="1" x14ac:dyDescent="0.3">
      <c r="C14" s="28"/>
      <c r="E14" s="27">
        <f>SUM(E5:E13)</f>
        <v>0</v>
      </c>
      <c r="I14" s="27"/>
      <c r="J14" s="27"/>
      <c r="K14" s="27"/>
      <c r="L14" s="118" t="s">
        <v>229</v>
      </c>
      <c r="N14" s="117">
        <f>SUM(N5:N10)</f>
        <v>344760</v>
      </c>
      <c r="O14" s="117">
        <f>SUM(O5:O10)</f>
        <v>351655.2</v>
      </c>
      <c r="P14" s="117">
        <f>SUM(P5:P10)</f>
        <v>358688.304</v>
      </c>
      <c r="Q14" s="117"/>
      <c r="R14" s="117">
        <f>SUM(R5:R10)</f>
        <v>27103.024696800003</v>
      </c>
      <c r="S14" s="117">
        <f>SUM(S5:S13)</f>
        <v>33315.871896527999</v>
      </c>
      <c r="T14" s="117">
        <f>SUM(T5:T13)</f>
        <v>33982.189334458555</v>
      </c>
      <c r="U14" s="75"/>
      <c r="V14" s="117">
        <f>SUM(V5:V13)</f>
        <v>99785.919999999998</v>
      </c>
      <c r="W14" s="117">
        <f>SUM(W5:W13)</f>
        <v>101781.63840000001</v>
      </c>
      <c r="X14" s="117">
        <f>SUM(X5:X13)</f>
        <v>103817.27116800001</v>
      </c>
    </row>
    <row r="15" spans="1:24" ht="15.75" thickTop="1" x14ac:dyDescent="0.25">
      <c r="D15" s="5"/>
    </row>
    <row r="17" spans="1:1" x14ac:dyDescent="0.25">
      <c r="A17" t="s">
        <v>163</v>
      </c>
    </row>
    <row r="18" spans="1:1" x14ac:dyDescent="0.25">
      <c r="A18" t="s">
        <v>49</v>
      </c>
    </row>
  </sheetData>
  <mergeCells count="5">
    <mergeCell ref="R2:T2"/>
    <mergeCell ref="F2:I2"/>
    <mergeCell ref="J2:L2"/>
    <mergeCell ref="N2:P2"/>
    <mergeCell ref="A1:B1"/>
  </mergeCells>
  <phoneticPr fontId="6" type="noConversion"/>
  <pageMargins left="0.7" right="0.7" top="1" bottom="0.75" header="0.3" footer="0.3"/>
  <pageSetup scale="51" orientation="landscape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37F8-047A-4710-82E7-9075EFB405A5}">
  <sheetPr>
    <pageSetUpPr fitToPage="1"/>
  </sheetPr>
  <dimension ref="A1:K50"/>
  <sheetViews>
    <sheetView topLeftCell="A18" workbookViewId="0">
      <selection activeCell="M15" sqref="M15"/>
    </sheetView>
  </sheetViews>
  <sheetFormatPr defaultRowHeight="15" x14ac:dyDescent="0.25"/>
  <cols>
    <col min="1" max="1" width="38.28515625" customWidth="1"/>
    <col min="2" max="2" width="13.85546875" customWidth="1"/>
    <col min="3" max="5" width="11.7109375" customWidth="1"/>
    <col min="6" max="6" width="13.7109375" customWidth="1"/>
    <col min="7" max="7" width="11.140625" customWidth="1"/>
    <col min="8" max="8" width="11.7109375" customWidth="1"/>
    <col min="10" max="10" width="2.28515625" customWidth="1"/>
    <col min="11" max="11" width="40.140625" customWidth="1"/>
  </cols>
  <sheetData>
    <row r="1" spans="1:5" x14ac:dyDescent="0.25">
      <c r="A1" s="120" t="s">
        <v>236</v>
      </c>
      <c r="B1" s="121"/>
    </row>
    <row r="3" spans="1:5" x14ac:dyDescent="0.25">
      <c r="A3" s="37" t="s">
        <v>72</v>
      </c>
    </row>
    <row r="5" spans="1:5" x14ac:dyDescent="0.25">
      <c r="B5" s="41" t="s">
        <v>84</v>
      </c>
      <c r="C5" s="134" t="s">
        <v>64</v>
      </c>
      <c r="D5" s="134"/>
      <c r="E5" s="134"/>
    </row>
    <row r="6" spans="1:5" x14ac:dyDescent="0.25">
      <c r="A6" t="s">
        <v>58</v>
      </c>
      <c r="B6" s="7" t="s">
        <v>33</v>
      </c>
      <c r="C6" s="29" t="s">
        <v>60</v>
      </c>
      <c r="D6" s="29" t="s">
        <v>61</v>
      </c>
      <c r="E6" s="29" t="s">
        <v>62</v>
      </c>
    </row>
    <row r="7" spans="1:5" x14ac:dyDescent="0.25">
      <c r="A7" s="11" t="s">
        <v>63</v>
      </c>
      <c r="B7" s="3"/>
      <c r="C7" s="39"/>
      <c r="D7" s="39"/>
      <c r="E7" s="39"/>
    </row>
    <row r="8" spans="1:5" x14ac:dyDescent="0.25">
      <c r="A8" s="12" t="s">
        <v>57</v>
      </c>
      <c r="B8" s="109">
        <v>1000</v>
      </c>
      <c r="C8" s="116">
        <v>500</v>
      </c>
      <c r="D8" s="116">
        <v>750</v>
      </c>
      <c r="E8" s="116">
        <v>600</v>
      </c>
    </row>
    <row r="9" spans="1:5" x14ac:dyDescent="0.25">
      <c r="A9" s="12" t="s">
        <v>20</v>
      </c>
      <c r="B9" s="109">
        <v>5000</v>
      </c>
      <c r="C9" s="116">
        <v>5000</v>
      </c>
      <c r="D9" s="116">
        <v>5000</v>
      </c>
      <c r="E9" s="116">
        <v>5000</v>
      </c>
    </row>
    <row r="10" spans="1:5" x14ac:dyDescent="0.25">
      <c r="A10" s="12" t="s">
        <v>21</v>
      </c>
      <c r="B10" s="109">
        <v>2500</v>
      </c>
      <c r="C10" s="116">
        <v>2500</v>
      </c>
      <c r="D10" s="116">
        <v>2500</v>
      </c>
      <c r="E10" s="116">
        <v>2500</v>
      </c>
    </row>
    <row r="11" spans="1:5" x14ac:dyDescent="0.25">
      <c r="A11" s="12" t="s">
        <v>26</v>
      </c>
      <c r="B11" s="109">
        <v>5000</v>
      </c>
      <c r="C11" s="116">
        <v>5000</v>
      </c>
      <c r="D11" s="116">
        <v>5000</v>
      </c>
      <c r="E11" s="116">
        <v>5000</v>
      </c>
    </row>
    <row r="12" spans="1:5" ht="15.75" thickBot="1" x14ac:dyDescent="0.3">
      <c r="A12" s="13" t="s">
        <v>22</v>
      </c>
      <c r="B12" s="38">
        <f>SUM(B8:B11)</f>
        <v>13500</v>
      </c>
      <c r="C12" s="40">
        <f t="shared" ref="C12:E12" si="0">SUM(C8:C11)</f>
        <v>13000</v>
      </c>
      <c r="D12" s="40">
        <f t="shared" si="0"/>
        <v>13250</v>
      </c>
      <c r="E12" s="40">
        <f t="shared" si="0"/>
        <v>13100</v>
      </c>
    </row>
    <row r="13" spans="1:5" ht="15.75" thickTop="1" x14ac:dyDescent="0.25"/>
    <row r="14" spans="1:5" x14ac:dyDescent="0.25">
      <c r="A14" s="12" t="s">
        <v>78</v>
      </c>
    </row>
    <row r="15" spans="1:5" x14ac:dyDescent="0.25">
      <c r="A15" s="12"/>
    </row>
    <row r="16" spans="1:5" x14ac:dyDescent="0.25">
      <c r="B16" s="41" t="s">
        <v>84</v>
      </c>
      <c r="C16" s="134" t="s">
        <v>65</v>
      </c>
      <c r="D16" s="134"/>
      <c r="E16" s="134"/>
    </row>
    <row r="17" spans="1:6" x14ac:dyDescent="0.25">
      <c r="A17" t="s">
        <v>58</v>
      </c>
      <c r="B17" s="7" t="s">
        <v>33</v>
      </c>
      <c r="C17" s="29" t="s">
        <v>60</v>
      </c>
      <c r="D17" s="29" t="s">
        <v>61</v>
      </c>
      <c r="E17" s="29" t="s">
        <v>62</v>
      </c>
    </row>
    <row r="18" spans="1:6" x14ac:dyDescent="0.25">
      <c r="A18" s="11" t="s">
        <v>66</v>
      </c>
      <c r="B18" s="3"/>
      <c r="C18" s="39"/>
      <c r="D18" s="39"/>
      <c r="E18" s="39"/>
    </row>
    <row r="19" spans="1:6" x14ac:dyDescent="0.25">
      <c r="A19" s="12" t="s">
        <v>57</v>
      </c>
      <c r="B19" s="109">
        <v>700</v>
      </c>
      <c r="C19" s="116">
        <v>700</v>
      </c>
      <c r="D19" s="116">
        <v>750</v>
      </c>
      <c r="E19" s="116"/>
      <c r="F19" s="58" t="s">
        <v>70</v>
      </c>
    </row>
    <row r="20" spans="1:6" x14ac:dyDescent="0.25">
      <c r="A20" s="12" t="s">
        <v>20</v>
      </c>
      <c r="B20" s="109">
        <v>4000</v>
      </c>
      <c r="C20" s="116">
        <v>4000</v>
      </c>
      <c r="D20" s="116">
        <v>5000</v>
      </c>
      <c r="E20" s="116"/>
      <c r="F20" s="58" t="s">
        <v>71</v>
      </c>
    </row>
    <row r="21" spans="1:6" x14ac:dyDescent="0.25">
      <c r="A21" s="12" t="s">
        <v>21</v>
      </c>
      <c r="B21" s="109">
        <v>1500</v>
      </c>
      <c r="C21" s="116">
        <v>1500</v>
      </c>
      <c r="D21" s="116">
        <v>2500</v>
      </c>
      <c r="E21" s="116"/>
    </row>
    <row r="22" spans="1:6" x14ac:dyDescent="0.25">
      <c r="A22" s="12" t="s">
        <v>26</v>
      </c>
      <c r="B22" s="109">
        <v>3200</v>
      </c>
      <c r="C22" s="116">
        <v>3200</v>
      </c>
      <c r="D22" s="116">
        <v>5000</v>
      </c>
      <c r="E22" s="116"/>
    </row>
    <row r="23" spans="1:6" ht="15.75" thickBot="1" x14ac:dyDescent="0.3">
      <c r="A23" s="13" t="s">
        <v>22</v>
      </c>
      <c r="B23" s="38">
        <f>SUM(B19:B22)</f>
        <v>9400</v>
      </c>
      <c r="C23" s="40">
        <f t="shared" ref="C23" si="1">SUM(C19:C22)</f>
        <v>9400</v>
      </c>
      <c r="D23" s="40">
        <f t="shared" ref="D23" si="2">SUM(D19:D22)</f>
        <v>13250</v>
      </c>
      <c r="E23" s="40">
        <f t="shared" ref="E23" si="3">SUM(E19:E22)</f>
        <v>0</v>
      </c>
    </row>
    <row r="24" spans="1:6" ht="15.75" thickTop="1" x14ac:dyDescent="0.25"/>
    <row r="25" spans="1:6" x14ac:dyDescent="0.25">
      <c r="A25" s="12" t="s">
        <v>77</v>
      </c>
    </row>
    <row r="27" spans="1:6" x14ac:dyDescent="0.25">
      <c r="B27" s="41" t="s">
        <v>84</v>
      </c>
      <c r="C27" s="134" t="s">
        <v>68</v>
      </c>
      <c r="D27" s="134"/>
      <c r="E27" s="134"/>
    </row>
    <row r="28" spans="1:6" x14ac:dyDescent="0.25">
      <c r="A28" t="s">
        <v>58</v>
      </c>
      <c r="B28" s="7" t="s">
        <v>33</v>
      </c>
      <c r="C28" s="29" t="s">
        <v>60</v>
      </c>
      <c r="D28" s="29" t="s">
        <v>61</v>
      </c>
      <c r="E28" s="29" t="s">
        <v>62</v>
      </c>
    </row>
    <row r="29" spans="1:6" x14ac:dyDescent="0.25">
      <c r="A29" s="11" t="s">
        <v>67</v>
      </c>
      <c r="B29" s="3"/>
      <c r="C29" s="39"/>
      <c r="D29" s="39"/>
      <c r="E29" s="39"/>
    </row>
    <row r="30" spans="1:6" x14ac:dyDescent="0.25">
      <c r="A30" s="12" t="s">
        <v>57</v>
      </c>
      <c r="B30" s="20"/>
      <c r="C30" s="26"/>
      <c r="D30" s="26">
        <v>800</v>
      </c>
      <c r="E30" s="26">
        <v>750</v>
      </c>
    </row>
    <row r="31" spans="1:6" x14ac:dyDescent="0.25">
      <c r="A31" s="12" t="s">
        <v>20</v>
      </c>
      <c r="B31" s="20"/>
      <c r="C31" s="26"/>
      <c r="D31" s="26">
        <v>2250</v>
      </c>
      <c r="E31" s="26">
        <v>2500</v>
      </c>
    </row>
    <row r="32" spans="1:6" x14ac:dyDescent="0.25">
      <c r="A32" s="12" t="s">
        <v>21</v>
      </c>
      <c r="B32" s="20"/>
      <c r="C32" s="26"/>
      <c r="D32" s="26">
        <v>2000</v>
      </c>
      <c r="E32" s="26">
        <v>2000</v>
      </c>
    </row>
    <row r="33" spans="1:11" x14ac:dyDescent="0.25">
      <c r="A33" s="12" t="s">
        <v>26</v>
      </c>
      <c r="B33" s="20"/>
      <c r="C33" s="26"/>
      <c r="D33" s="26">
        <v>3000</v>
      </c>
      <c r="E33" s="26">
        <v>3000</v>
      </c>
    </row>
    <row r="34" spans="1:11" ht="15.75" thickBot="1" x14ac:dyDescent="0.3">
      <c r="A34" s="13" t="s">
        <v>22</v>
      </c>
      <c r="B34" s="38">
        <f>SUM(B30:B33)</f>
        <v>0</v>
      </c>
      <c r="C34" s="40">
        <f t="shared" ref="C34" si="4">SUM(C30:C33)</f>
        <v>0</v>
      </c>
      <c r="D34" s="40">
        <f t="shared" ref="D34" si="5">SUM(D30:D33)</f>
        <v>8050</v>
      </c>
      <c r="E34" s="40">
        <f t="shared" ref="E34" si="6">SUM(E30:E33)</f>
        <v>8250</v>
      </c>
    </row>
    <row r="35" spans="1:11" ht="15.75" thickTop="1" x14ac:dyDescent="0.25"/>
    <row r="36" spans="1:11" x14ac:dyDescent="0.25">
      <c r="A36" s="12" t="s">
        <v>79</v>
      </c>
    </row>
    <row r="39" spans="1:11" x14ac:dyDescent="0.25">
      <c r="B39" s="140" t="s">
        <v>59</v>
      </c>
      <c r="C39" s="140"/>
      <c r="D39" s="140"/>
      <c r="E39" s="41" t="s">
        <v>84</v>
      </c>
      <c r="G39" s="134" t="s">
        <v>73</v>
      </c>
      <c r="H39" s="134"/>
      <c r="I39" s="134"/>
      <c r="K39" s="4" t="s">
        <v>101</v>
      </c>
    </row>
    <row r="40" spans="1:11" ht="45" x14ac:dyDescent="0.25">
      <c r="B40" s="4" t="s">
        <v>75</v>
      </c>
      <c r="C40" s="15" t="s">
        <v>74</v>
      </c>
      <c r="D40" s="16" t="s">
        <v>260</v>
      </c>
      <c r="E40" s="16" t="s">
        <v>33</v>
      </c>
      <c r="F40" s="4" t="s">
        <v>76</v>
      </c>
      <c r="G40" s="43" t="s">
        <v>60</v>
      </c>
      <c r="H40" s="43" t="s">
        <v>61</v>
      </c>
      <c r="I40" s="43" t="s">
        <v>62</v>
      </c>
    </row>
    <row r="41" spans="1:11" x14ac:dyDescent="0.25">
      <c r="A41" s="2" t="s">
        <v>23</v>
      </c>
      <c r="B41" s="15"/>
      <c r="C41" s="15"/>
      <c r="D41" s="15"/>
      <c r="E41" s="15"/>
      <c r="F41" s="15"/>
      <c r="G41" s="29"/>
      <c r="H41" s="29"/>
      <c r="I41" s="29"/>
    </row>
    <row r="42" spans="1:11" x14ac:dyDescent="0.25">
      <c r="A42" s="12" t="s">
        <v>109</v>
      </c>
      <c r="B42" s="119">
        <v>50000</v>
      </c>
      <c r="C42" s="119"/>
      <c r="D42" s="109">
        <v>29167</v>
      </c>
      <c r="E42" s="20">
        <f>ROUND((+D42/Months_elapsed*12),-1)</f>
        <v>50000</v>
      </c>
      <c r="F42" s="51"/>
      <c r="G42" s="116">
        <v>50000</v>
      </c>
      <c r="H42" s="116">
        <v>50000</v>
      </c>
      <c r="I42" s="116">
        <v>50000</v>
      </c>
      <c r="K42" t="s">
        <v>238</v>
      </c>
    </row>
    <row r="43" spans="1:11" x14ac:dyDescent="0.25">
      <c r="A43" s="12" t="s">
        <v>110</v>
      </c>
      <c r="B43" s="119">
        <v>10000</v>
      </c>
      <c r="C43" s="119"/>
      <c r="D43" s="109">
        <v>10000</v>
      </c>
      <c r="E43" s="109">
        <v>10000</v>
      </c>
      <c r="F43" s="51"/>
      <c r="G43" s="116">
        <v>10000</v>
      </c>
      <c r="H43" s="116">
        <v>10000</v>
      </c>
      <c r="I43" s="116">
        <v>10000</v>
      </c>
      <c r="K43" t="s">
        <v>239</v>
      </c>
    </row>
    <row r="44" spans="1:11" x14ac:dyDescent="0.25">
      <c r="A44" s="12" t="s">
        <v>111</v>
      </c>
      <c r="B44" s="119">
        <v>2800</v>
      </c>
      <c r="C44" s="119">
        <v>3150</v>
      </c>
      <c r="D44" s="109">
        <v>1692</v>
      </c>
      <c r="E44" s="20">
        <f>+D44/Months_elapsed*12</f>
        <v>2900.5714285714284</v>
      </c>
      <c r="F44" s="51">
        <f>AVERAGE(B44,C44,E44)</f>
        <v>2950.1904761904757</v>
      </c>
      <c r="G44" s="26">
        <f>+F44*1.02</f>
        <v>3009.1942857142853</v>
      </c>
      <c r="H44" s="26">
        <f t="shared" ref="H44:I44" si="7">+G44*1.02</f>
        <v>3069.378171428571</v>
      </c>
      <c r="I44" s="26">
        <f t="shared" si="7"/>
        <v>3130.7657348571424</v>
      </c>
      <c r="K44" t="s">
        <v>108</v>
      </c>
    </row>
    <row r="45" spans="1:11" x14ac:dyDescent="0.25">
      <c r="A45" s="12" t="s">
        <v>112</v>
      </c>
      <c r="B45" s="44">
        <v>18250</v>
      </c>
      <c r="C45" s="44">
        <v>32800</v>
      </c>
      <c r="D45" s="20"/>
      <c r="E45" s="20">
        <f>+B12+B23+B34</f>
        <v>22900</v>
      </c>
      <c r="F45" s="51"/>
      <c r="G45" s="26">
        <f>+C12+C23+C34</f>
        <v>22400</v>
      </c>
      <c r="H45" s="26">
        <f>+D12+D23+D34</f>
        <v>34550</v>
      </c>
      <c r="I45" s="26">
        <f>+E12+E23+E34</f>
        <v>21350</v>
      </c>
    </row>
    <row r="46" spans="1:11" ht="15.75" thickBot="1" x14ac:dyDescent="0.3">
      <c r="A46" s="14" t="s">
        <v>24</v>
      </c>
      <c r="B46" s="45">
        <f t="shared" ref="B46:C46" si="8">SUM(B40:B45)</f>
        <v>81050</v>
      </c>
      <c r="C46" s="45">
        <f t="shared" si="8"/>
        <v>35950</v>
      </c>
      <c r="D46" s="45">
        <f>SUM(D40:D45)</f>
        <v>40859</v>
      </c>
      <c r="E46" s="45">
        <f>SUM(E40:E45)</f>
        <v>85800.57142857142</v>
      </c>
      <c r="F46" s="52"/>
      <c r="G46" s="46">
        <f>SUM(G40:G45)</f>
        <v>85409.194285714286</v>
      </c>
      <c r="H46" s="46">
        <f>SUM(H40:H45)</f>
        <v>97619.378171428572</v>
      </c>
      <c r="I46" s="46">
        <f>SUM(I40:I45)</f>
        <v>84480.765734857152</v>
      </c>
    </row>
    <row r="47" spans="1:11" ht="15.75" thickTop="1" x14ac:dyDescent="0.25"/>
    <row r="48" spans="1:11" x14ac:dyDescent="0.25">
      <c r="A48" s="15"/>
    </row>
    <row r="49" spans="1:1" x14ac:dyDescent="0.25">
      <c r="A49" s="15"/>
    </row>
    <row r="50" spans="1:1" x14ac:dyDescent="0.25">
      <c r="A50" s="15"/>
    </row>
  </sheetData>
  <mergeCells count="5">
    <mergeCell ref="G39:I39"/>
    <mergeCell ref="C5:E5"/>
    <mergeCell ref="C16:E16"/>
    <mergeCell ref="C27:E27"/>
    <mergeCell ref="B39:D39"/>
  </mergeCells>
  <pageMargins left="0.7" right="0.7" top="1" bottom="0.75" header="0.3" footer="0.3"/>
  <pageSetup scale="66" orientation="landscape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4655-C84C-418E-94C3-6057089960C4}">
  <sheetPr>
    <pageSetUpPr fitToPage="1"/>
  </sheetPr>
  <dimension ref="A1:L38"/>
  <sheetViews>
    <sheetView workbookViewId="0">
      <pane ySplit="6" topLeftCell="A7" activePane="bottomLeft" state="frozen"/>
      <selection activeCell="M15" sqref="M15"/>
      <selection pane="bottomLeft" activeCell="M15" sqref="M15"/>
    </sheetView>
  </sheetViews>
  <sheetFormatPr defaultRowHeight="15" x14ac:dyDescent="0.25"/>
  <cols>
    <col min="1" max="1" width="35" customWidth="1"/>
    <col min="2" max="6" width="12.5703125" customWidth="1"/>
    <col min="7" max="9" width="13.42578125" style="42" customWidth="1"/>
    <col min="10" max="10" width="1.85546875" style="42" customWidth="1"/>
    <col min="11" max="11" width="58.5703125" customWidth="1"/>
  </cols>
  <sheetData>
    <row r="1" spans="1:11" x14ac:dyDescent="0.25">
      <c r="A1" s="120" t="s">
        <v>236</v>
      </c>
    </row>
    <row r="2" spans="1:11" x14ac:dyDescent="0.25">
      <c r="A2" s="121"/>
    </row>
    <row r="3" spans="1:11" x14ac:dyDescent="0.25">
      <c r="A3" s="121" t="s">
        <v>240</v>
      </c>
      <c r="B3" s="105"/>
    </row>
    <row r="4" spans="1:11" x14ac:dyDescent="0.25">
      <c r="A4" s="1" t="s">
        <v>241</v>
      </c>
    </row>
    <row r="6" spans="1:11" ht="60" x14ac:dyDescent="0.25">
      <c r="B6" s="16" t="s">
        <v>34</v>
      </c>
      <c r="C6" s="16" t="s">
        <v>35</v>
      </c>
      <c r="D6" s="16" t="s">
        <v>258</v>
      </c>
      <c r="E6" s="16" t="s">
        <v>87</v>
      </c>
      <c r="F6" s="16" t="s">
        <v>76</v>
      </c>
      <c r="G6" s="43" t="s">
        <v>60</v>
      </c>
      <c r="H6" s="43" t="s">
        <v>61</v>
      </c>
      <c r="I6" s="43" t="s">
        <v>62</v>
      </c>
      <c r="J6" s="43"/>
      <c r="K6" s="93" t="s">
        <v>101</v>
      </c>
    </row>
    <row r="7" spans="1:11" x14ac:dyDescent="0.25">
      <c r="B7" s="16"/>
      <c r="C7" s="16"/>
      <c r="D7" s="16"/>
      <c r="E7" s="16"/>
      <c r="F7" s="16"/>
      <c r="G7" s="127">
        <v>2.5000000000000001E-2</v>
      </c>
      <c r="H7" s="127">
        <v>2.1000000000000001E-2</v>
      </c>
      <c r="I7" s="127">
        <v>0.02</v>
      </c>
      <c r="J7" s="43"/>
      <c r="K7" t="s">
        <v>237</v>
      </c>
    </row>
    <row r="8" spans="1:11" x14ac:dyDescent="0.25">
      <c r="B8" s="4"/>
      <c r="C8" s="15"/>
      <c r="D8" s="15"/>
      <c r="E8" s="15"/>
      <c r="F8" s="15"/>
    </row>
    <row r="9" spans="1:11" x14ac:dyDescent="0.25">
      <c r="A9" s="1" t="s">
        <v>20</v>
      </c>
      <c r="B9" s="109">
        <v>45700</v>
      </c>
      <c r="C9" s="109">
        <v>44500</v>
      </c>
      <c r="D9" s="109">
        <v>30100</v>
      </c>
      <c r="E9" s="20">
        <f>+D9/Months_elapsed*12</f>
        <v>51600</v>
      </c>
      <c r="F9" s="20">
        <f>AVERAGE(B9,C9,E9)</f>
        <v>47266.666666666664</v>
      </c>
      <c r="G9" s="26">
        <f>+F9*1.02</f>
        <v>48212</v>
      </c>
      <c r="H9" s="26">
        <f>+G9*1.02</f>
        <v>49176.24</v>
      </c>
      <c r="I9" s="26">
        <f>+H9*1.02</f>
        <v>50159.764799999997</v>
      </c>
      <c r="J9" s="26"/>
      <c r="K9" t="s">
        <v>165</v>
      </c>
    </row>
    <row r="11" spans="1:11" x14ac:dyDescent="0.25">
      <c r="A11" s="1" t="s">
        <v>25</v>
      </c>
    </row>
    <row r="12" spans="1:11" x14ac:dyDescent="0.25">
      <c r="A12" s="53" t="s">
        <v>88</v>
      </c>
      <c r="B12" s="109">
        <v>45500</v>
      </c>
      <c r="C12" s="109">
        <v>37500</v>
      </c>
      <c r="D12" s="109">
        <v>25666.666666666664</v>
      </c>
      <c r="E12" s="20">
        <f>+D12/Months_elapsed*12</f>
        <v>44000</v>
      </c>
      <c r="F12" s="20">
        <f>AVERAGE(B12,C12,E12)</f>
        <v>42333.333333333336</v>
      </c>
      <c r="G12" s="26">
        <f>+F12*(1+G7)</f>
        <v>43391.666666666664</v>
      </c>
      <c r="H12" s="26">
        <f>+G12*(1+H7)</f>
        <v>44302.891666666663</v>
      </c>
      <c r="I12" s="26">
        <f>+H12*(1+I7)</f>
        <v>45188.949499999995</v>
      </c>
      <c r="J12" s="26"/>
      <c r="K12" t="s">
        <v>165</v>
      </c>
    </row>
    <row r="13" spans="1:11" x14ac:dyDescent="0.25">
      <c r="A13" s="53" t="s">
        <v>89</v>
      </c>
      <c r="B13" s="109">
        <v>16000</v>
      </c>
      <c r="C13" s="109">
        <v>20300</v>
      </c>
      <c r="D13" s="109">
        <v>12250</v>
      </c>
      <c r="E13" s="20">
        <f>+D13/Months_elapsed*12</f>
        <v>21000</v>
      </c>
      <c r="F13" s="20">
        <f>AVERAGE(B13,C13,E13)</f>
        <v>19100</v>
      </c>
      <c r="G13" s="26">
        <f>+F13*(1+G7)</f>
        <v>19577.5</v>
      </c>
      <c r="H13" s="26">
        <f t="shared" ref="H13:I13" si="0">+G13*(1+H7)</f>
        <v>19988.627499999999</v>
      </c>
      <c r="I13" s="26">
        <f t="shared" si="0"/>
        <v>20388.40005</v>
      </c>
      <c r="J13" s="26"/>
      <c r="K13" t="s">
        <v>165</v>
      </c>
    </row>
    <row r="14" spans="1:11" x14ac:dyDescent="0.25">
      <c r="A14" s="53" t="s">
        <v>90</v>
      </c>
      <c r="B14" s="109">
        <v>5900</v>
      </c>
      <c r="C14" s="109">
        <v>7000</v>
      </c>
      <c r="D14" s="109">
        <v>8166.666666666667</v>
      </c>
      <c r="E14" s="20">
        <f>+D14/Months_elapsed*12</f>
        <v>14000</v>
      </c>
      <c r="G14" s="54">
        <v>14000</v>
      </c>
      <c r="H14" s="54">
        <v>14000</v>
      </c>
      <c r="I14" s="54">
        <v>14000</v>
      </c>
      <c r="J14" s="54"/>
      <c r="K14" t="s">
        <v>91</v>
      </c>
    </row>
    <row r="15" spans="1:11" ht="15.75" thickBot="1" x14ac:dyDescent="0.3">
      <c r="A15" s="11" t="s">
        <v>92</v>
      </c>
      <c r="B15" s="56">
        <f>SUM(B12:B14)</f>
        <v>67400</v>
      </c>
      <c r="C15" s="56">
        <f>SUM(C12:C14)</f>
        <v>64800</v>
      </c>
      <c r="D15" s="56">
        <f>SUM(D12:D14)</f>
        <v>46083.333333333328</v>
      </c>
      <c r="E15" s="56">
        <f>SUM(E12:E14)</f>
        <v>79000</v>
      </c>
      <c r="G15" s="55">
        <f>SUM(G12:G14)</f>
        <v>76969.166666666657</v>
      </c>
      <c r="H15" s="55">
        <f>SUM(H12:H14)</f>
        <v>78291.519166666665</v>
      </c>
      <c r="I15" s="55">
        <f>SUM(I12:I14)</f>
        <v>79577.349549999999</v>
      </c>
      <c r="J15" s="54"/>
    </row>
    <row r="16" spans="1:11" ht="15.75" thickTop="1" x14ac:dyDescent="0.25"/>
    <row r="17" spans="1:11" x14ac:dyDescent="0.25">
      <c r="A17" s="1" t="s">
        <v>93</v>
      </c>
    </row>
    <row r="18" spans="1:11" x14ac:dyDescent="0.25">
      <c r="A18" s="53" t="s">
        <v>96</v>
      </c>
      <c r="B18" s="109">
        <v>10800</v>
      </c>
      <c r="C18" s="109">
        <v>6300</v>
      </c>
      <c r="D18" s="109">
        <v>5541.6666666666661</v>
      </c>
      <c r="E18" s="20">
        <f>+D18/Months_elapsed*12</f>
        <v>9500</v>
      </c>
      <c r="G18" s="26">
        <v>11400</v>
      </c>
      <c r="H18" s="26">
        <v>18000</v>
      </c>
      <c r="I18" s="26">
        <v>18000</v>
      </c>
      <c r="J18" s="26"/>
      <c r="K18" t="s">
        <v>100</v>
      </c>
    </row>
    <row r="19" spans="1:11" x14ac:dyDescent="0.25">
      <c r="A19" s="53" t="s">
        <v>95</v>
      </c>
      <c r="B19" s="109">
        <v>110000</v>
      </c>
      <c r="C19" s="109">
        <v>95000</v>
      </c>
      <c r="D19" s="109">
        <v>59500</v>
      </c>
      <c r="E19" s="20">
        <f>+D19/Months_elapsed*12</f>
        <v>102000</v>
      </c>
      <c r="F19" s="71"/>
      <c r="G19" s="26">
        <f>+E19*1.05</f>
        <v>107100</v>
      </c>
      <c r="H19" s="26">
        <f>+G19*1.05</f>
        <v>112455</v>
      </c>
      <c r="I19" s="26">
        <f>+H19*1.05</f>
        <v>118077.75</v>
      </c>
      <c r="J19" s="26"/>
      <c r="K19" t="s">
        <v>97</v>
      </c>
    </row>
    <row r="20" spans="1:11" x14ac:dyDescent="0.25">
      <c r="A20" s="53" t="s">
        <v>94</v>
      </c>
      <c r="B20" s="109">
        <v>17500</v>
      </c>
      <c r="C20" s="109">
        <v>19600</v>
      </c>
      <c r="D20" s="109">
        <v>12366.666666666668</v>
      </c>
      <c r="E20" s="20">
        <f>+D20/Months_elapsed*12</f>
        <v>21200</v>
      </c>
      <c r="F20" s="20"/>
      <c r="G20" s="26">
        <f>+E20*(1+G7)</f>
        <v>21729.999999999996</v>
      </c>
      <c r="H20" s="26">
        <f>+G20*(1+H7)</f>
        <v>22186.329999999994</v>
      </c>
      <c r="I20" s="26">
        <f>+H20*(1+I7)</f>
        <v>22630.056599999996</v>
      </c>
      <c r="J20" s="26"/>
      <c r="K20" t="s">
        <v>167</v>
      </c>
    </row>
    <row r="21" spans="1:11" x14ac:dyDescent="0.25">
      <c r="A21" s="53" t="s">
        <v>102</v>
      </c>
      <c r="B21" s="109">
        <v>550</v>
      </c>
      <c r="C21" s="109">
        <v>620</v>
      </c>
      <c r="D21" s="109">
        <v>245</v>
      </c>
      <c r="E21" s="20">
        <f>+D21/Months_elapsed*12</f>
        <v>420</v>
      </c>
      <c r="G21" s="26">
        <f>+E21*(1+G7)</f>
        <v>430.49999999999994</v>
      </c>
      <c r="H21" s="26">
        <f>+G21*(1+H7)</f>
        <v>439.54049999999989</v>
      </c>
      <c r="I21" s="26">
        <f>+H21*(1+I7)</f>
        <v>448.33130999999992</v>
      </c>
      <c r="J21" s="26"/>
      <c r="K21" t="s">
        <v>167</v>
      </c>
    </row>
    <row r="22" spans="1:11" x14ac:dyDescent="0.25">
      <c r="A22" s="53" t="s">
        <v>99</v>
      </c>
      <c r="B22" s="109">
        <v>25200</v>
      </c>
      <c r="C22" s="109">
        <v>25500</v>
      </c>
      <c r="D22" s="109">
        <v>14525</v>
      </c>
      <c r="E22" s="20">
        <f>+D22/Months_elapsed*12</f>
        <v>24900</v>
      </c>
      <c r="F22" s="20">
        <f>AVERAGE(B22,C22,E22)</f>
        <v>25200</v>
      </c>
      <c r="G22" s="26">
        <f>+F22*1.02</f>
        <v>25704</v>
      </c>
      <c r="H22" s="26">
        <f>+G22*1.02</f>
        <v>26218.080000000002</v>
      </c>
      <c r="I22" s="26">
        <f>+H22*1.02</f>
        <v>26742.441600000002</v>
      </c>
      <c r="J22" s="26"/>
      <c r="K22" t="s">
        <v>165</v>
      </c>
    </row>
    <row r="23" spans="1:11" ht="15.75" thickBot="1" x14ac:dyDescent="0.3">
      <c r="A23" s="11" t="s">
        <v>98</v>
      </c>
      <c r="B23" s="56">
        <f>SUM(B18:B22)</f>
        <v>164050</v>
      </c>
      <c r="C23" s="56">
        <f>SUM(C18:C22)</f>
        <v>147020</v>
      </c>
      <c r="D23" s="56">
        <f>SUM(D18:D22)</f>
        <v>92178.333333333328</v>
      </c>
      <c r="E23" s="56">
        <f>SUM(E18:E22)</f>
        <v>158020</v>
      </c>
      <c r="G23" s="57">
        <f>SUM(G18:G22)</f>
        <v>166364.5</v>
      </c>
      <c r="H23" s="57">
        <f>SUM(H18:H22)</f>
        <v>179298.95049999998</v>
      </c>
      <c r="I23" s="57">
        <f>SUM(I18:I22)</f>
        <v>185898.57951000001</v>
      </c>
      <c r="J23" s="54"/>
    </row>
    <row r="24" spans="1:11" ht="15.75" thickTop="1" x14ac:dyDescent="0.25"/>
    <row r="26" spans="1:11" x14ac:dyDescent="0.25">
      <c r="A26" s="1" t="s">
        <v>104</v>
      </c>
      <c r="B26" s="109">
        <v>83900</v>
      </c>
      <c r="C26" s="109">
        <v>92700</v>
      </c>
      <c r="D26" s="109">
        <v>52970</v>
      </c>
      <c r="E26" s="20">
        <f>+D26/Months_elapsed*12</f>
        <v>90805.71428571429</v>
      </c>
      <c r="F26" s="20"/>
      <c r="G26" s="26">
        <f>+E26*(1+G7)</f>
        <v>93075.857142857145</v>
      </c>
      <c r="H26" s="26">
        <f>+G26*(1+H7)</f>
        <v>95030.450142857138</v>
      </c>
      <c r="I26" s="26">
        <f>+H26*(1+I7)</f>
        <v>96931.059145714287</v>
      </c>
      <c r="J26" s="26"/>
      <c r="K26" t="s">
        <v>166</v>
      </c>
    </row>
    <row r="27" spans="1:11" x14ac:dyDescent="0.25">
      <c r="D27" s="20"/>
    </row>
    <row r="28" spans="1:11" x14ac:dyDescent="0.25">
      <c r="A28" s="1" t="s">
        <v>105</v>
      </c>
      <c r="B28" s="109">
        <v>20500</v>
      </c>
      <c r="C28" s="109">
        <v>18200</v>
      </c>
      <c r="D28" s="109">
        <v>9050</v>
      </c>
      <c r="E28" s="20">
        <f>+D28/Months_elapsed*12</f>
        <v>15514.285714285714</v>
      </c>
      <c r="F28" s="20">
        <f>AVERAGE(B28,C28,E28)</f>
        <v>18071.428571428569</v>
      </c>
      <c r="G28" s="26">
        <f>+F28*(1+G7)</f>
        <v>18523.214285714283</v>
      </c>
      <c r="H28" s="26">
        <f>+G28*(1+H7)</f>
        <v>18912.201785714282</v>
      </c>
      <c r="I28" s="26">
        <f>+H28*(1+I7)</f>
        <v>19290.44582142857</v>
      </c>
      <c r="J28" s="26"/>
      <c r="K28" t="s">
        <v>165</v>
      </c>
    </row>
    <row r="29" spans="1:11" x14ac:dyDescent="0.25">
      <c r="D29" s="20"/>
    </row>
    <row r="30" spans="1:11" x14ac:dyDescent="0.25">
      <c r="A30" s="1" t="s">
        <v>106</v>
      </c>
      <c r="B30" s="109">
        <v>15700</v>
      </c>
      <c r="C30" s="109">
        <v>16680</v>
      </c>
      <c r="D30" s="109">
        <v>10700</v>
      </c>
      <c r="E30" s="20">
        <f>+D30/Months_elapsed*12</f>
        <v>18342.857142857145</v>
      </c>
      <c r="F30" s="20">
        <f>AVERAGE(B30,C30,E30)</f>
        <v>16907.61904761905</v>
      </c>
      <c r="G30" s="26">
        <f>+F30*(1+G7)</f>
        <v>17330.309523809523</v>
      </c>
      <c r="H30" s="26">
        <f>+G30*(1+H7)</f>
        <v>17694.246023809523</v>
      </c>
      <c r="I30" s="26">
        <f>+H30*(1+I7)</f>
        <v>18048.130944285713</v>
      </c>
      <c r="J30" s="26"/>
      <c r="K30" t="s">
        <v>165</v>
      </c>
    </row>
    <row r="31" spans="1:11" x14ac:dyDescent="0.25">
      <c r="D31" s="20"/>
    </row>
    <row r="32" spans="1:11" x14ac:dyDescent="0.25">
      <c r="A32" s="1" t="s">
        <v>129</v>
      </c>
    </row>
    <row r="33" spans="1:12" x14ac:dyDescent="0.25">
      <c r="A33" s="53" t="s">
        <v>132</v>
      </c>
      <c r="G33" s="26">
        <v>18500</v>
      </c>
      <c r="H33" s="26">
        <v>17800</v>
      </c>
      <c r="I33" s="26">
        <v>17100</v>
      </c>
      <c r="J33"/>
      <c r="K33" t="s">
        <v>103</v>
      </c>
    </row>
    <row r="34" spans="1:12" x14ac:dyDescent="0.25">
      <c r="A34" s="53" t="s">
        <v>222</v>
      </c>
      <c r="B34" s="20"/>
      <c r="C34" s="20"/>
      <c r="D34" s="20"/>
      <c r="E34" s="20"/>
      <c r="F34" s="20"/>
      <c r="G34" s="26">
        <f>+'lease rev &amp; exp'!H14</f>
        <v>146000.57142857142</v>
      </c>
      <c r="H34" s="26">
        <f>+'lease rev &amp; exp'!I14</f>
        <v>146000.57142857142</v>
      </c>
      <c r="I34" s="26">
        <f>+'lease rev &amp; exp'!J14</f>
        <v>146000.57142857142</v>
      </c>
      <c r="J34"/>
      <c r="K34" t="s">
        <v>220</v>
      </c>
    </row>
    <row r="35" spans="1:12" x14ac:dyDescent="0.25">
      <c r="A35" s="53" t="s">
        <v>130</v>
      </c>
      <c r="B35" s="109">
        <v>10180</v>
      </c>
      <c r="C35" s="109">
        <v>8400</v>
      </c>
      <c r="D35" s="109">
        <v>6125</v>
      </c>
      <c r="E35" s="20">
        <f>+D35/7*12</f>
        <v>10500</v>
      </c>
      <c r="F35" s="20">
        <f t="shared" ref="F35" si="1">AVERAGE(B35,C35,E35)</f>
        <v>9693.3333333333339</v>
      </c>
      <c r="G35" s="26">
        <f>+F35*(1+G7)</f>
        <v>9935.6666666666661</v>
      </c>
      <c r="H35" s="26">
        <f t="shared" ref="H35:I35" si="2">+G35*(1+H7)</f>
        <v>10144.315666666665</v>
      </c>
      <c r="I35" s="26">
        <f t="shared" si="2"/>
        <v>10347.20198</v>
      </c>
      <c r="K35" t="s">
        <v>165</v>
      </c>
    </row>
    <row r="36" spans="1:12" ht="15.75" thickBot="1" x14ac:dyDescent="0.3">
      <c r="A36" s="1" t="s">
        <v>131</v>
      </c>
      <c r="B36" s="1"/>
      <c r="C36" s="1"/>
      <c r="D36" s="1"/>
      <c r="E36" s="1"/>
      <c r="F36" s="1"/>
      <c r="G36" s="67">
        <f>SUM(G33:G35)</f>
        <v>174436.23809523808</v>
      </c>
      <c r="H36" s="67">
        <f t="shared" ref="H36:I36" si="3">SUM(H33:H35)</f>
        <v>173944.88709523808</v>
      </c>
      <c r="I36" s="67">
        <f t="shared" si="3"/>
        <v>173447.77340857143</v>
      </c>
    </row>
    <row r="37" spans="1:12" ht="15.75" thickTop="1" x14ac:dyDescent="0.25"/>
    <row r="38" spans="1:12" x14ac:dyDescent="0.25">
      <c r="A38" s="11"/>
      <c r="B38" s="17"/>
      <c r="C38" s="17"/>
      <c r="D38" s="17"/>
      <c r="E38" s="17"/>
      <c r="F38" s="17"/>
      <c r="L38" s="72"/>
    </row>
  </sheetData>
  <dataValidations count="1">
    <dataValidation type="list" allowBlank="1" showInputMessage="1" showErrorMessage="1" sqref="B3" xr:uid="{B7E9897D-7703-4D9F-A064-7A4DB3E6BB77}">
      <formula1>"July, August, September, October, November, December, January, February, March, April, May, June"</formula1>
    </dataValidation>
  </dataValidations>
  <pageMargins left="0.7" right="0.7" top="1" bottom="0.75" header="0.3" footer="0.3"/>
  <pageSetup scale="61" orientation="landscape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0076-D1B8-4A1D-9CCA-BAF585B48F91}">
  <sheetPr>
    <pageSetUpPr fitToPage="1"/>
  </sheetPr>
  <dimension ref="A1:J25"/>
  <sheetViews>
    <sheetView workbookViewId="0">
      <selection activeCell="M15" sqref="M15"/>
    </sheetView>
  </sheetViews>
  <sheetFormatPr defaultRowHeight="15" x14ac:dyDescent="0.25"/>
  <cols>
    <col min="1" max="1" width="28.28515625" customWidth="1"/>
    <col min="2" max="4" width="12.5703125" bestFit="1" customWidth="1"/>
    <col min="5" max="5" width="10.140625" bestFit="1" customWidth="1"/>
    <col min="6" max="6" width="10" customWidth="1"/>
    <col min="7" max="7" width="10.140625" bestFit="1" customWidth="1"/>
    <col min="10" max="10" width="34.42578125" customWidth="1"/>
  </cols>
  <sheetData>
    <row r="1" spans="1:10" x14ac:dyDescent="0.25">
      <c r="A1" s="120" t="s">
        <v>236</v>
      </c>
      <c r="B1" s="120"/>
    </row>
    <row r="3" spans="1:10" ht="30" x14ac:dyDescent="0.25">
      <c r="B3" s="16" t="s">
        <v>34</v>
      </c>
      <c r="C3" s="16" t="s">
        <v>35</v>
      </c>
      <c r="D3" s="16" t="s">
        <v>33</v>
      </c>
      <c r="E3" s="16" t="s">
        <v>76</v>
      </c>
      <c r="F3" s="4"/>
      <c r="G3" s="43" t="s">
        <v>40</v>
      </c>
      <c r="H3" s="43" t="s">
        <v>50</v>
      </c>
      <c r="I3" s="43" t="s">
        <v>51</v>
      </c>
      <c r="J3" s="93" t="s">
        <v>101</v>
      </c>
    </row>
    <row r="4" spans="1:10" x14ac:dyDescent="0.25">
      <c r="A4" s="15" t="s">
        <v>118</v>
      </c>
    </row>
    <row r="5" spans="1:10" x14ac:dyDescent="0.25">
      <c r="A5" t="s">
        <v>224</v>
      </c>
    </row>
    <row r="6" spans="1:10" x14ac:dyDescent="0.25">
      <c r="A6" s="12" t="s">
        <v>113</v>
      </c>
      <c r="B6" s="109">
        <v>18500</v>
      </c>
      <c r="C6" s="109">
        <v>17250</v>
      </c>
      <c r="D6" s="109">
        <v>19150</v>
      </c>
      <c r="E6" s="20">
        <f>AVERAGE(B6:D6)</f>
        <v>18300</v>
      </c>
      <c r="G6" s="54">
        <f>+ROUND($E6,-2)</f>
        <v>18300</v>
      </c>
      <c r="H6" s="54">
        <f t="shared" ref="H6:I11" si="0">+ROUND($E6,-2)</f>
        <v>18300</v>
      </c>
      <c r="I6" s="54">
        <f t="shared" si="0"/>
        <v>18300</v>
      </c>
      <c r="J6" t="s">
        <v>122</v>
      </c>
    </row>
    <row r="7" spans="1:10" x14ac:dyDescent="0.25">
      <c r="A7" s="12" t="s">
        <v>114</v>
      </c>
      <c r="B7" s="109">
        <v>6180</v>
      </c>
      <c r="C7" s="109">
        <v>5320</v>
      </c>
      <c r="D7" s="109">
        <v>7445</v>
      </c>
      <c r="E7" s="20">
        <f t="shared" ref="E7:E9" si="1">AVERAGE(B7:D7)</f>
        <v>6315</v>
      </c>
      <c r="G7" s="54">
        <f t="shared" ref="G7:G11" si="2">+ROUND($E7,-2)</f>
        <v>6300</v>
      </c>
      <c r="H7" s="54">
        <f t="shared" si="0"/>
        <v>6300</v>
      </c>
      <c r="I7" s="54">
        <f t="shared" si="0"/>
        <v>6300</v>
      </c>
      <c r="J7" t="s">
        <v>122</v>
      </c>
    </row>
    <row r="8" spans="1:10" x14ac:dyDescent="0.25">
      <c r="A8" s="12" t="s">
        <v>115</v>
      </c>
      <c r="B8" s="109">
        <v>55665</v>
      </c>
      <c r="C8" s="109">
        <v>68725</v>
      </c>
      <c r="D8" s="109">
        <v>65988</v>
      </c>
      <c r="E8" s="20">
        <f t="shared" si="1"/>
        <v>63459.333333333336</v>
      </c>
      <c r="G8" s="54">
        <f t="shared" si="2"/>
        <v>63500</v>
      </c>
      <c r="H8" s="54">
        <f t="shared" si="0"/>
        <v>63500</v>
      </c>
      <c r="I8" s="54">
        <f t="shared" si="0"/>
        <v>63500</v>
      </c>
      <c r="J8" t="s">
        <v>122</v>
      </c>
    </row>
    <row r="9" spans="1:10" x14ac:dyDescent="0.25">
      <c r="A9" s="12" t="s">
        <v>116</v>
      </c>
      <c r="B9" s="109">
        <v>5880</v>
      </c>
      <c r="C9" s="109">
        <v>6250</v>
      </c>
      <c r="D9" s="109">
        <v>6885</v>
      </c>
      <c r="E9" s="20">
        <f t="shared" si="1"/>
        <v>6338.333333333333</v>
      </c>
      <c r="G9" s="54">
        <f t="shared" si="2"/>
        <v>6300</v>
      </c>
      <c r="H9" s="54">
        <f t="shared" si="0"/>
        <v>6300</v>
      </c>
      <c r="I9" s="54">
        <f t="shared" si="0"/>
        <v>6300</v>
      </c>
      <c r="J9" t="s">
        <v>122</v>
      </c>
    </row>
    <row r="10" spans="1:10" x14ac:dyDescent="0.25">
      <c r="A10" t="s">
        <v>225</v>
      </c>
      <c r="B10" s="20"/>
      <c r="C10" s="20"/>
      <c r="D10" s="20"/>
      <c r="E10" s="20"/>
      <c r="G10" s="54"/>
      <c r="H10" s="54"/>
      <c r="I10" s="54"/>
    </row>
    <row r="11" spans="1:10" x14ac:dyDescent="0.25">
      <c r="A11" s="12" t="s">
        <v>223</v>
      </c>
      <c r="B11" s="109">
        <v>22600</v>
      </c>
      <c r="C11" s="109">
        <v>24850</v>
      </c>
      <c r="D11" s="109">
        <v>25000</v>
      </c>
      <c r="E11" s="20">
        <f>AVERAGE(B11:D11)</f>
        <v>24150</v>
      </c>
      <c r="G11" s="54">
        <f t="shared" si="2"/>
        <v>24200</v>
      </c>
      <c r="H11" s="54">
        <f t="shared" si="0"/>
        <v>24200</v>
      </c>
      <c r="I11" s="54">
        <f t="shared" si="0"/>
        <v>24200</v>
      </c>
    </row>
    <row r="12" spans="1:10" ht="15.75" thickBot="1" x14ac:dyDescent="0.3">
      <c r="A12" t="s">
        <v>117</v>
      </c>
      <c r="B12" s="56">
        <f>SUM(B6:B9)</f>
        <v>86225</v>
      </c>
      <c r="C12" s="56">
        <f>SUM(C6:C9)</f>
        <v>97545</v>
      </c>
      <c r="D12" s="56">
        <f>SUM(D6:D11)</f>
        <v>124468</v>
      </c>
      <c r="E12" s="56">
        <f>SUM(E6:E9)</f>
        <v>94412.666666666672</v>
      </c>
      <c r="G12" s="57">
        <f>SUM(G6:G11)</f>
        <v>118600</v>
      </c>
      <c r="H12" s="57">
        <f t="shared" ref="H12:I12" si="3">SUM(H6:H11)</f>
        <v>118600</v>
      </c>
      <c r="I12" s="57">
        <f t="shared" si="3"/>
        <v>118600</v>
      </c>
    </row>
    <row r="13" spans="1:10" ht="15.75" thickTop="1" x14ac:dyDescent="0.25">
      <c r="G13" s="42"/>
      <c r="H13" s="42"/>
      <c r="I13" s="42"/>
    </row>
    <row r="14" spans="1:10" ht="34.5" x14ac:dyDescent="0.25">
      <c r="A14" s="37" t="s">
        <v>119</v>
      </c>
      <c r="F14" s="70" t="s">
        <v>164</v>
      </c>
      <c r="G14" s="42"/>
      <c r="H14" s="42"/>
      <c r="I14" s="42"/>
    </row>
    <row r="15" spans="1:10" x14ac:dyDescent="0.25">
      <c r="A15" s="11" t="s">
        <v>224</v>
      </c>
      <c r="F15" s="70"/>
      <c r="G15" s="42"/>
      <c r="H15" s="42"/>
      <c r="I15" s="42"/>
    </row>
    <row r="16" spans="1:10" x14ac:dyDescent="0.25">
      <c r="A16" s="12" t="s">
        <v>113</v>
      </c>
      <c r="B16" s="109">
        <f>+B6*0.8</f>
        <v>14800</v>
      </c>
      <c r="C16" s="109">
        <f>+C6*0.8</f>
        <v>13800</v>
      </c>
      <c r="D16" s="109">
        <f>+D6*0.8</f>
        <v>15320</v>
      </c>
      <c r="E16" s="20">
        <f t="shared" ref="E16:E21" si="4">AVERAGE(B16:D16)</f>
        <v>14640</v>
      </c>
      <c r="F16" s="25">
        <f>+E16/E6</f>
        <v>0.8</v>
      </c>
      <c r="G16" s="26">
        <f t="shared" ref="G16:I19" si="5">+G6*$F16</f>
        <v>14640</v>
      </c>
      <c r="H16" s="26">
        <f t="shared" si="5"/>
        <v>14640</v>
      </c>
      <c r="I16" s="26">
        <f t="shared" si="5"/>
        <v>14640</v>
      </c>
      <c r="J16" t="s">
        <v>123</v>
      </c>
    </row>
    <row r="17" spans="1:10" x14ac:dyDescent="0.25">
      <c r="A17" s="12" t="s">
        <v>114</v>
      </c>
      <c r="B17" s="109">
        <f>+B7*0.75</f>
        <v>4635</v>
      </c>
      <c r="C17" s="109">
        <f>+C7*0.75</f>
        <v>3990</v>
      </c>
      <c r="D17" s="109">
        <v>5585</v>
      </c>
      <c r="E17" s="20">
        <f t="shared" si="4"/>
        <v>4736.666666666667</v>
      </c>
      <c r="F17" s="25">
        <f>+E17/E7</f>
        <v>0.75006598046978101</v>
      </c>
      <c r="G17" s="26">
        <f t="shared" si="5"/>
        <v>4725.4156769596202</v>
      </c>
      <c r="H17" s="26">
        <f t="shared" si="5"/>
        <v>4725.4156769596202</v>
      </c>
      <c r="I17" s="26">
        <f t="shared" si="5"/>
        <v>4725.4156769596202</v>
      </c>
      <c r="J17" t="s">
        <v>123</v>
      </c>
    </row>
    <row r="18" spans="1:10" x14ac:dyDescent="0.25">
      <c r="A18" s="12" t="s">
        <v>115</v>
      </c>
      <c r="B18" s="109">
        <f>+B8*0.65</f>
        <v>36182.25</v>
      </c>
      <c r="C18" s="109">
        <f>+C8*0.65</f>
        <v>44671.25</v>
      </c>
      <c r="D18" s="109">
        <f>+D8*0.65</f>
        <v>42892.200000000004</v>
      </c>
      <c r="E18" s="20">
        <f t="shared" si="4"/>
        <v>41248.566666666673</v>
      </c>
      <c r="F18" s="25">
        <f>+E18/E8</f>
        <v>0.65</v>
      </c>
      <c r="G18" s="26">
        <f t="shared" si="5"/>
        <v>41275</v>
      </c>
      <c r="H18" s="26">
        <f t="shared" si="5"/>
        <v>41275</v>
      </c>
      <c r="I18" s="26">
        <f t="shared" si="5"/>
        <v>41275</v>
      </c>
      <c r="J18" t="s">
        <v>123</v>
      </c>
    </row>
    <row r="19" spans="1:10" x14ac:dyDescent="0.25">
      <c r="A19" s="12" t="s">
        <v>116</v>
      </c>
      <c r="B19" s="109">
        <f>+B9*0.85</f>
        <v>4998</v>
      </c>
      <c r="C19" s="109">
        <f>+C9*0.85</f>
        <v>5312.5</v>
      </c>
      <c r="D19" s="109">
        <f>+D9*0.85</f>
        <v>5852.25</v>
      </c>
      <c r="E19" s="20">
        <f t="shared" si="4"/>
        <v>5387.583333333333</v>
      </c>
      <c r="F19" s="25">
        <f>+E19/E9</f>
        <v>0.85</v>
      </c>
      <c r="G19" s="26">
        <f t="shared" si="5"/>
        <v>5355</v>
      </c>
      <c r="H19" s="26">
        <f t="shared" si="5"/>
        <v>5355</v>
      </c>
      <c r="I19" s="26">
        <f t="shared" si="5"/>
        <v>5355</v>
      </c>
      <c r="J19" t="s">
        <v>123</v>
      </c>
    </row>
    <row r="20" spans="1:10" x14ac:dyDescent="0.25">
      <c r="A20" t="s">
        <v>225</v>
      </c>
      <c r="B20" s="20"/>
      <c r="C20" s="20"/>
      <c r="D20" s="20"/>
      <c r="E20" s="20"/>
      <c r="F20" s="25"/>
      <c r="G20" s="26"/>
      <c r="H20" s="26"/>
      <c r="I20" s="26"/>
    </row>
    <row r="21" spans="1:10" x14ac:dyDescent="0.25">
      <c r="A21" s="12" t="s">
        <v>223</v>
      </c>
      <c r="B21" s="109">
        <v>12430.000000000002</v>
      </c>
      <c r="C21" s="109">
        <v>13667.500000000002</v>
      </c>
      <c r="D21" s="109">
        <v>12000</v>
      </c>
      <c r="E21" s="20">
        <f t="shared" si="4"/>
        <v>12699.166666666666</v>
      </c>
      <c r="F21" s="25">
        <f>+E21/E11</f>
        <v>0.52584541062801926</v>
      </c>
      <c r="G21" s="26">
        <f>+G11*$F21</f>
        <v>12725.458937198066</v>
      </c>
      <c r="H21" s="26">
        <f>+H11*$F21</f>
        <v>12725.458937198066</v>
      </c>
      <c r="I21" s="26">
        <f>+I11*$F21</f>
        <v>12725.458937198066</v>
      </c>
    </row>
    <row r="22" spans="1:10" ht="15.75" thickBot="1" x14ac:dyDescent="0.3">
      <c r="A22" t="s">
        <v>120</v>
      </c>
      <c r="B22" s="59">
        <f>SUM(B16:B19)</f>
        <v>60615.25</v>
      </c>
      <c r="C22" s="59">
        <f>SUM(C16:C19)</f>
        <v>67773.75</v>
      </c>
      <c r="D22" s="59">
        <f>SUM(D16:D21)</f>
        <v>81649.450000000012</v>
      </c>
      <c r="E22" s="59">
        <f>SUM(E16:E19)</f>
        <v>66012.816666666666</v>
      </c>
      <c r="G22" s="57">
        <f>SUM(G16:G21)</f>
        <v>78720.874614157685</v>
      </c>
      <c r="H22" s="57">
        <f t="shared" ref="H22:I22" si="6">SUM(H16:H21)</f>
        <v>78720.874614157685</v>
      </c>
      <c r="I22" s="57">
        <f t="shared" si="6"/>
        <v>78720.874614157685</v>
      </c>
    </row>
    <row r="23" spans="1:10" ht="15.75" thickTop="1" x14ac:dyDescent="0.25">
      <c r="G23" s="42"/>
      <c r="H23" s="42"/>
      <c r="I23" s="42"/>
    </row>
    <row r="24" spans="1:10" ht="15.75" thickBot="1" x14ac:dyDescent="0.3">
      <c r="A24" s="11" t="s">
        <v>121</v>
      </c>
      <c r="B24" s="61">
        <f>+B12-B22</f>
        <v>25609.75</v>
      </c>
      <c r="C24" s="61">
        <f>+C12-C22</f>
        <v>29771.25</v>
      </c>
      <c r="D24" s="61">
        <f>+D12-D22</f>
        <v>42818.549999999988</v>
      </c>
      <c r="E24" s="61">
        <f>+E12-E22</f>
        <v>28399.850000000006</v>
      </c>
      <c r="G24" s="62">
        <f>+G12-G22</f>
        <v>39879.125385842315</v>
      </c>
      <c r="H24" s="62">
        <f>+H12-H22</f>
        <v>39879.125385842315</v>
      </c>
      <c r="I24" s="62">
        <f>+I12-I22</f>
        <v>39879.125385842315</v>
      </c>
    </row>
    <row r="25" spans="1:10" ht="15.75" thickTop="1" x14ac:dyDescent="0.25"/>
  </sheetData>
  <pageMargins left="0.7" right="0.7" top="1" bottom="0.75" header="0.3" footer="0.3"/>
  <pageSetup scale="82" orientation="landscape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2C58-51DC-419D-9DDB-0D0C75F70178}">
  <sheetPr>
    <pageSetUpPr fitToPage="1"/>
  </sheetPr>
  <dimension ref="A1:L16"/>
  <sheetViews>
    <sheetView workbookViewId="0">
      <selection activeCell="M15" sqref="M15"/>
    </sheetView>
  </sheetViews>
  <sheetFormatPr defaultRowHeight="15" x14ac:dyDescent="0.25"/>
  <cols>
    <col min="1" max="1" width="25.5703125" customWidth="1"/>
    <col min="2" max="6" width="10.7109375" customWidth="1"/>
    <col min="7" max="7" width="1.7109375" customWidth="1"/>
    <col min="8" max="10" width="11.28515625" style="42" customWidth="1"/>
    <col min="11" max="11" width="1.85546875" customWidth="1"/>
    <col min="12" max="12" width="46.85546875" customWidth="1"/>
  </cols>
  <sheetData>
    <row r="1" spans="1:12" x14ac:dyDescent="0.25">
      <c r="A1" s="139" t="s">
        <v>236</v>
      </c>
      <c r="B1" s="139"/>
    </row>
    <row r="3" spans="1:12" ht="45" x14ac:dyDescent="0.25">
      <c r="B3" s="16" t="s">
        <v>34</v>
      </c>
      <c r="C3" s="16" t="s">
        <v>35</v>
      </c>
      <c r="D3" s="16" t="s">
        <v>83</v>
      </c>
      <c r="E3" s="16" t="s">
        <v>87</v>
      </c>
      <c r="F3" s="16" t="s">
        <v>218</v>
      </c>
      <c r="G3" s="16"/>
      <c r="H3" s="43" t="s">
        <v>40</v>
      </c>
      <c r="I3" s="43" t="s">
        <v>50</v>
      </c>
      <c r="J3" s="43" t="s">
        <v>51</v>
      </c>
      <c r="L3" s="93" t="s">
        <v>101</v>
      </c>
    </row>
    <row r="5" spans="1:12" x14ac:dyDescent="0.25">
      <c r="A5" s="11" t="s">
        <v>215</v>
      </c>
      <c r="B5" s="20"/>
      <c r="C5" s="20"/>
      <c r="D5" s="20"/>
      <c r="E5" s="20"/>
      <c r="F5" s="20"/>
      <c r="G5" s="20"/>
      <c r="H5" s="26"/>
      <c r="I5" s="26"/>
      <c r="J5" s="26"/>
    </row>
    <row r="6" spans="1:12" x14ac:dyDescent="0.25">
      <c r="A6" s="53" t="s">
        <v>208</v>
      </c>
      <c r="B6" s="109">
        <v>221760</v>
      </c>
      <c r="C6" s="109">
        <v>214560</v>
      </c>
      <c r="D6" s="109">
        <v>127680</v>
      </c>
      <c r="E6" s="20">
        <f>+D6/Months_elapsed*12</f>
        <v>218880</v>
      </c>
      <c r="H6" s="116">
        <v>218880</v>
      </c>
      <c r="I6" s="116">
        <v>218880</v>
      </c>
      <c r="J6" s="116">
        <v>218880</v>
      </c>
      <c r="L6" t="s">
        <v>216</v>
      </c>
    </row>
    <row r="7" spans="1:12" x14ac:dyDescent="0.25">
      <c r="A7" s="53" t="s">
        <v>209</v>
      </c>
      <c r="B7" s="109">
        <v>147840</v>
      </c>
      <c r="C7" s="109">
        <v>143040</v>
      </c>
      <c r="D7" s="109">
        <v>85120</v>
      </c>
      <c r="E7" s="20">
        <f>+D7/Months_elapsed*12</f>
        <v>145920</v>
      </c>
      <c r="H7" s="116">
        <v>145920</v>
      </c>
      <c r="I7" s="116">
        <v>145920</v>
      </c>
      <c r="J7" s="116">
        <v>145920</v>
      </c>
      <c r="L7" t="s">
        <v>216</v>
      </c>
    </row>
    <row r="8" spans="1:12" ht="15.75" thickBot="1" x14ac:dyDescent="0.3">
      <c r="A8" t="s">
        <v>210</v>
      </c>
      <c r="B8" s="59">
        <f>SUM(B5:B7)</f>
        <v>369600</v>
      </c>
      <c r="C8" s="59">
        <f t="shared" ref="C8:E8" si="0">SUM(C5:C7)</f>
        <v>357600</v>
      </c>
      <c r="D8" s="59">
        <f t="shared" si="0"/>
        <v>212800</v>
      </c>
      <c r="E8" s="59">
        <f t="shared" si="0"/>
        <v>364800</v>
      </c>
      <c r="H8" s="57">
        <f>SUM(H6:H7)</f>
        <v>364800</v>
      </c>
      <c r="I8" s="57">
        <f t="shared" ref="I8:J8" si="1">SUM(I6:I7)</f>
        <v>364800</v>
      </c>
      <c r="J8" s="57">
        <f t="shared" si="1"/>
        <v>364800</v>
      </c>
    </row>
    <row r="9" spans="1:12" ht="15.75" thickTop="1" x14ac:dyDescent="0.25"/>
    <row r="11" spans="1:12" x14ac:dyDescent="0.25">
      <c r="A11" s="11" t="s">
        <v>222</v>
      </c>
      <c r="B11" s="20"/>
      <c r="C11" s="20"/>
      <c r="D11" s="20"/>
      <c r="E11" s="20"/>
      <c r="H11" s="26"/>
      <c r="I11" s="26"/>
      <c r="J11" s="26"/>
    </row>
    <row r="12" spans="1:12" x14ac:dyDescent="0.25">
      <c r="A12" s="53" t="s">
        <v>208</v>
      </c>
      <c r="B12" s="109">
        <v>77616</v>
      </c>
      <c r="C12" s="109">
        <v>85860</v>
      </c>
      <c r="D12" s="109">
        <v>50167</v>
      </c>
      <c r="E12" s="20">
        <f>+D12/Months_elapsed*12</f>
        <v>86000.57142857142</v>
      </c>
      <c r="F12" s="17">
        <f>+E12/E6</f>
        <v>0.39291196741854634</v>
      </c>
      <c r="G12" s="17"/>
      <c r="H12" s="26">
        <f>+H6*$F$12</f>
        <v>86000.57142857142</v>
      </c>
      <c r="I12" s="26">
        <f t="shared" ref="I12:J12" si="2">+I6*$F$12</f>
        <v>86000.57142857142</v>
      </c>
      <c r="J12" s="26">
        <f t="shared" si="2"/>
        <v>86000.57142857142</v>
      </c>
      <c r="L12" t="s">
        <v>217</v>
      </c>
    </row>
    <row r="13" spans="1:12" x14ac:dyDescent="0.25">
      <c r="A13" s="53" t="s">
        <v>209</v>
      </c>
      <c r="B13" s="109">
        <v>51744</v>
      </c>
      <c r="C13" s="109">
        <v>57240</v>
      </c>
      <c r="D13" s="109">
        <v>35000</v>
      </c>
      <c r="E13" s="20">
        <f>+D13/Months_elapsed*12</f>
        <v>60000</v>
      </c>
      <c r="F13" s="17">
        <f>+E13/E7</f>
        <v>0.41118421052631576</v>
      </c>
      <c r="G13" s="17"/>
      <c r="H13" s="26">
        <f>+H7*$F$13</f>
        <v>59999.999999999993</v>
      </c>
      <c r="I13" s="26">
        <f t="shared" ref="I13:J13" si="3">+I7*$F$13</f>
        <v>59999.999999999993</v>
      </c>
      <c r="J13" s="26">
        <f t="shared" si="3"/>
        <v>59999.999999999993</v>
      </c>
      <c r="L13" t="s">
        <v>217</v>
      </c>
    </row>
    <row r="14" spans="1:12" ht="15.75" thickBot="1" x14ac:dyDescent="0.3">
      <c r="A14" t="s">
        <v>214</v>
      </c>
      <c r="B14" s="59">
        <f>SUM(B11:B13)</f>
        <v>129360</v>
      </c>
      <c r="C14" s="59">
        <f t="shared" ref="C14:E14" si="4">SUM(C11:C13)</f>
        <v>143100</v>
      </c>
      <c r="D14" s="59">
        <f t="shared" si="4"/>
        <v>85167</v>
      </c>
      <c r="E14" s="59">
        <f t="shared" si="4"/>
        <v>146000.57142857142</v>
      </c>
      <c r="H14" s="64">
        <f>SUM(H12:H13)</f>
        <v>146000.57142857142</v>
      </c>
      <c r="I14" s="64">
        <f t="shared" ref="I14:J14" si="5">SUM(I12:I13)</f>
        <v>146000.57142857142</v>
      </c>
      <c r="J14" s="64">
        <f t="shared" si="5"/>
        <v>146000.57142857142</v>
      </c>
    </row>
    <row r="15" spans="1:12" ht="15.75" thickTop="1" x14ac:dyDescent="0.25"/>
    <row r="16" spans="1:12" x14ac:dyDescent="0.25">
      <c r="A16" s="60" t="s">
        <v>219</v>
      </c>
      <c r="B16" s="78">
        <f>+B8-B14</f>
        <v>240240</v>
      </c>
      <c r="C16" s="78">
        <f t="shared" ref="C16:E16" si="6">+C8-C14</f>
        <v>214500</v>
      </c>
      <c r="D16" s="78">
        <f t="shared" si="6"/>
        <v>127633</v>
      </c>
      <c r="E16" s="78">
        <f t="shared" si="6"/>
        <v>218799.42857142858</v>
      </c>
      <c r="F16" s="1"/>
      <c r="G16" s="1"/>
      <c r="H16" s="90">
        <f>+H8-H14</f>
        <v>218799.42857142858</v>
      </c>
      <c r="I16" s="90">
        <f t="shared" ref="I16:J16" si="7">+I8-I14</f>
        <v>218799.42857142858</v>
      </c>
      <c r="J16" s="90">
        <f t="shared" si="7"/>
        <v>218799.42857142858</v>
      </c>
    </row>
  </sheetData>
  <mergeCells count="1">
    <mergeCell ref="A1:B1"/>
  </mergeCells>
  <pageMargins left="0.7" right="0.7" top="1" bottom="0.75" header="0.3" footer="0.3"/>
  <pageSetup scale="74" orientation="landscape" r:id="rId1"/>
  <headerFooter>
    <oddHeader xml:space="preserve">&amp;CPARISH NAME, LOCATION (Parish Family ___, Parish ID ___)
3-YEAR BUDGET FOR FY 24/25, FY 25/26, FY 26/27  </oddHeader>
    <oddFooter>&amp;LPFS: Sample Parish Budget Tool, Jan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A9DAA4CE59F46ACEF240C99412533" ma:contentTypeVersion="19" ma:contentTypeDescription="Create a new document." ma:contentTypeScope="" ma:versionID="f09e77e33ce399b6853ffc001e042bec">
  <xsd:schema xmlns:xsd="http://www.w3.org/2001/XMLSchema" xmlns:xs="http://www.w3.org/2001/XMLSchema" xmlns:p="http://schemas.microsoft.com/office/2006/metadata/properties" xmlns:ns1="http://schemas.microsoft.com/sharepoint/v3" xmlns:ns2="4c2808bd-5079-42e1-9190-507e9afedb07" xmlns:ns3="badb596c-9d38-4e9c-b8aa-abf60c48bdda" targetNamespace="http://schemas.microsoft.com/office/2006/metadata/properties" ma:root="true" ma:fieldsID="8a884f49f38552c4fafcb2f65ccfe3c3" ns1:_="" ns2:_="" ns3:_="">
    <xsd:import namespace="http://schemas.microsoft.com/sharepoint/v3"/>
    <xsd:import namespace="4c2808bd-5079-42e1-9190-507e9afedb07"/>
    <xsd:import namespace="badb596c-9d38-4e9c-b8aa-abf60c48b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808bd-5079-42e1-9190-507e9afed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7e7bf9b-7038-4968-b368-25477f8e6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b596c-9d38-4e9c-b8aa-abf60c48bd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fdf4ad4-93d0-4e90-b798-8ec8ebc50e14}" ma:internalName="TaxCatchAll" ma:showField="CatchAllData" ma:web="badb596c-9d38-4e9c-b8aa-abf60c48b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c2808bd-5079-42e1-9190-507e9afedb07">
      <Terms xmlns="http://schemas.microsoft.com/office/infopath/2007/PartnerControls"/>
    </lcf76f155ced4ddcb4097134ff3c332f>
    <_ip_UnifiedCompliancePolicyProperties xmlns="http://schemas.microsoft.com/sharepoint/v3" xsi:nil="true"/>
    <TaxCatchAll xmlns="badb596c-9d38-4e9c-b8aa-abf60c48bdda" xsi:nil="true"/>
  </documentManagement>
</p:properties>
</file>

<file path=customXml/itemProps1.xml><?xml version="1.0" encoding="utf-8"?>
<ds:datastoreItem xmlns:ds="http://schemas.openxmlformats.org/officeDocument/2006/customXml" ds:itemID="{4866DC13-321B-4F6C-9F41-8ECC6C4AD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2808bd-5079-42e1-9190-507e9afedb07"/>
    <ds:schemaRef ds:uri="badb596c-9d38-4e9c-b8aa-abf60c48b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B1F56C-1883-4C39-AABE-89F6A1CF5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F6773-4591-4043-9290-6BAA110358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c2808bd-5079-42e1-9190-507e9afedb07"/>
    <ds:schemaRef ds:uri="badb596c-9d38-4e9c-b8aa-abf60c48bd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budget projections</vt:lpstr>
      <vt:lpstr>month lookup</vt:lpstr>
      <vt:lpstr>rev-collection</vt:lpstr>
      <vt:lpstr>rev-other</vt:lpstr>
      <vt:lpstr>Exp-payroll</vt:lpstr>
      <vt:lpstr>Exp-Program</vt:lpstr>
      <vt:lpstr>Exp-Other</vt:lpstr>
      <vt:lpstr>fundraising rev &amp; exp</vt:lpstr>
      <vt:lpstr>lease rev &amp; exp</vt:lpstr>
      <vt:lpstr>assessments</vt:lpstr>
      <vt:lpstr>Months_elapsed</vt:lpstr>
    </vt:vector>
  </TitlesOfParts>
  <Company>Archdiocese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Bader Scott</dc:creator>
  <cp:lastModifiedBy>Sarah Diama</cp:lastModifiedBy>
  <cp:lastPrinted>2025-01-03T19:01:45Z</cp:lastPrinted>
  <dcterms:created xsi:type="dcterms:W3CDTF">2017-01-22T17:44:48Z</dcterms:created>
  <dcterms:modified xsi:type="dcterms:W3CDTF">2025-01-03T19:07:28Z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0x010100FB1A9DAA4CE59F46ACEF240C99412533</vt:lpwstr>
  </property>
  <property fmtid="{D5CDD505-2E9C-101B-9397-08002B2CF9AE}" pid="3" name="Order">
    <vt:r8>248000</vt:r8>
  </property>
  <property fmtid="{D5CDD505-2E9C-101B-9397-08002B2CF9AE}" pid="4" name="MediaServiceImageTags">
    <vt:lpwstr/>
  </property>
</Properties>
</file>